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de2e1910b49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ccfef8752248423a"/>
    <x:sheet xmlns:r="http://schemas.openxmlformats.org/officeDocument/2006/relationships" name="Assumptions" sheetId="2" r:id="R8a2b1159f3424b74"/>
    <x:sheet xmlns:r="http://schemas.openxmlformats.org/officeDocument/2006/relationships" name="Forecast" sheetId="3" r:id="R2b4ef5a30e804c91"/>
    <x:sheet xmlns:r="http://schemas.openxmlformats.org/officeDocument/2006/relationships" name="Funding" sheetId="4" r:id="Rc2a2065c0637458d"/>
    <x:sheet xmlns:r="http://schemas.openxmlformats.org/officeDocument/2006/relationships" name="Valuation" sheetId="5" r:id="R4e0f70f5b1784fc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2">
    <x:numFmt numFmtId="200" formatCode="@"/>
    <x:numFmt numFmtId="201" formatCode="0"/>
    <x:numFmt numFmtId="202" formatCode="mmm-yy"/>
    <x:numFmt numFmtId="203" formatCode="0.00"/>
    <x:numFmt numFmtId="204" formatCode="0.0000"/>
    <x:numFmt numFmtId="205" formatCode="&quot;INR &quot;#,##0;(&quot;INR &quot;#,##0);&quot;-&quot;"/>
    <x:numFmt numFmtId="206" formatCode="#,##0;(#,##0);&quot;-&quot;"/>
    <x:numFmt numFmtId="207" formatCode="0.0%;(0.0%);&quot;-&quot;"/>
    <x:numFmt numFmtId="208" formatCode="0.0;(0.0);&quot;-&quot;"/>
    <x:numFmt numFmtId="209" formatCode="&quot;$&quot;#,##0;(&quot;$&quot;#,##0);&quot;-&quot;"/>
    <x:numFmt numFmtId="210" formatCode="&quot;AED &quot;#,##0"/>
    <x:numFmt numFmtId="211" formatCode="0.0&quot;x&quot;"/>
  </x:numFmts>
  <x:fonts count="18">
    <x:font>
      <x:sz val="11"/>
      <x:name val="Carlito"/>
    </x:font>
    <x:font>
      <x:sz val="11"/>
      <x:color rgb="FF152D43"/>
      <x:name val="Arial"/>
    </x:font>
    <x:font>
      <x:b/>
      <x:sz val="16"/>
      <x:color rgb="FF152D43"/>
      <x:name val="Arial"/>
    </x:font>
    <x:font>
      <x:sz val="11"/>
      <x:color rgb="FF176746"/>
      <x:name val="Arial"/>
    </x:font>
    <x:font>
      <x:sz val="11"/>
      <x:color rgb="FF1559BB"/>
      <x:name val="Arial"/>
    </x:font>
    <x:font>
      <x:b/>
      <x:sz val="11"/>
      <x:color rgb="FF152D43"/>
      <x:name val="Arial"/>
    </x:font>
    <x:font>
      <x:sz val="11"/>
      <x:color rgb="FF61748A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  <x:font>
      <x:b/>
      <x:sz val="11"/>
      <x:color rgb="FF111111"/>
      <x:name val="Arial"/>
    </x:font>
    <x:font>
      <x:sz val="11"/>
      <x:color rgb="FF111111"/>
      <x:name val="Arial"/>
    </x:font>
    <x:font>
      <x:i/>
      <x:sz val="11"/>
      <x:color rgb="FF61748A"/>
      <x:name val="Arial"/>
    </x:font>
    <x:font>
      <x:b/>
      <x:sz val="11"/>
      <x:color rgb="FF176746"/>
      <x:name val="Arial"/>
    </x:font>
    <x:font>
      <x:i/>
      <x:sz val="11"/>
      <x:color rgb="FF152D43"/>
      <x:name val="Arial"/>
    </x:font>
    <x:font>
      <x:i/>
      <x:sz val="11"/>
      <x:color rgb="FF111111"/>
      <x:name val="Arial"/>
    </x:font>
    <x:font>
      <x:i/>
      <x:sz val="11"/>
      <x:color rgb="FF176746"/>
      <x:name val="Arial"/>
    </x:font>
    <x:font>
      <x:sz val="11"/>
      <x:color rgb="FFB32F32"/>
      <x:name val="Arial"/>
    </x:font>
    <x:font>
      <x:b/>
      <x:sz val="11"/>
      <x:color rgb="FF1559B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F"/>
      </x:patternFill>
    </x:fill>
    <x:fill>
      <x:patternFill patternType="solid">
        <x:fgColor rgb="FFEDF3F8"/>
      </x:patternFill>
    </x:fill>
    <x:fill>
      <x:patternFill patternType="solid">
        <x:fgColor rgb="FF152D43"/>
      </x:patternFill>
    </x:fill>
  </x:fills>
  <x:borders count="4">
    <x:border>
      <x:left/>
      <x:right/>
      <x:top/>
      <x:bottom/>
      <x:diagonal/>
    </x:border>
    <x:border>
      <x:left style="dashed">
        <x:color rgb="FFB8CADA"/>
      </x:left>
      <x:right style="dashed">
        <x:color rgb="FFB8CADA"/>
      </x:right>
      <x:top style="dashed">
        <x:color rgb="FFB8CADA"/>
      </x:top>
      <x:bottom style="dashed">
        <x:color rgb="FFB8CADA"/>
      </x:bottom>
      <x:diagonal/>
    </x:border>
    <x:border>
      <x:left/>
      <x:right/>
      <x:top/>
      <x:bottom style="thin">
        <x:color rgb="FFB8CADA"/>
      </x:bottom>
      <x:diagonal/>
    </x:border>
    <x:border>
      <x:left/>
      <x:right/>
      <x:top style="thin">
        <x:color rgb="FFB8CADA"/>
      </x:top>
      <x:bottom/>
      <x:diagonal/>
    </x:border>
  </x:borders>
  <x:cellStyleXfs count="1">
    <x:xf numFmtId="0" fontId="0" fillId="0" borderId="0"/>
  </x:cellStyleXfs>
  <x:cellXfs count="15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/>
    </x:xf>
    <x:xf numFmtId="200" fontId="1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0" fontId="3" fillId="0" borderId="1" xfId="0" applyNumberFormat="1" applyFont="1" applyFill="1" applyBorder="1" applyAlignment="1">
      <x:alignment vertical="center"/>
    </x:xf>
    <x:xf numFmtId="200" fontId="3" fillId="0" borderId="1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 applyAlignment="1">
      <x:alignment horizontal="left" vertical="center"/>
    </x:xf>
    <x:xf numFmtId="201" fontId="3" fillId="0" borderId="1" xfId="0" applyNumberFormat="1" applyFont="1" applyFill="1" applyBorder="1" applyAlignment="1">
      <x:alignment horizontal="center" vertical="center"/>
    </x:xf>
    <x:xf numFmtId="201" fontId="3" fillId="2" borderId="1" xfId="0" applyNumberFormat="1" applyFont="1" applyFill="1" applyBorder="1" applyAlignment="1">
      <x:alignment horizontal="center" vertical="center"/>
    </x:xf>
    <x:xf numFmtId="201" fontId="4" fillId="2" borderId="1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left"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horizontal="left" vertical="center"/>
    </x:xf>
    <x:xf numFmtId="0" fontId="5" fillId="3" borderId="2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horizontal="left"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3" fontId="4" fillId="2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4" fontId="4" fillId="2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 applyAlignment="1">
      <x:alignment vertical="center"/>
    </x:xf>
    <x:xf numFmtId="205" fontId="4" fillId="2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6" fontId="1" fillId="2" borderId="0" xfId="0" applyNumberFormat="1" applyFont="1" applyFill="1" applyBorder="1" applyAlignment="1">
      <x:alignment vertical="center"/>
    </x:xf>
    <x:xf numFmtId="206" fontId="4" fillId="2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207" fontId="1" fillId="2" borderId="0" xfId="0" applyNumberFormat="1" applyFont="1" applyFill="1" applyBorder="1" applyAlignment="1">
      <x:alignment vertical="center"/>
    </x:xf>
    <x:xf numFmtId="207" fontId="4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208" fontId="1" fillId="0" borderId="0" xfId="0" applyNumberFormat="1" applyFont="1" applyFill="1" applyBorder="1" applyAlignment="1">
      <x:alignment vertical="center"/>
    </x:xf>
    <x:xf numFmtId="208" fontId="1" fillId="2" borderId="0" xfId="0" applyNumberFormat="1" applyFont="1" applyFill="1" applyBorder="1" applyAlignment="1">
      <x:alignment vertical="center"/>
    </x:xf>
    <x:xf numFmtId="208" fontId="4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horizontal="center" vertical="center"/>
    </x:xf>
    <x:xf numFmtId="206" fontId="5" fillId="3" borderId="0" xfId="0" applyNumberFormat="1" applyFont="1" applyFill="1" applyBorder="1" applyAlignment="1">
      <x:alignment vertical="center"/>
    </x:xf>
    <x:xf numFmtId="206" fontId="9" fillId="3" borderId="0" xfId="0" applyNumberFormat="1" applyFont="1" applyFill="1" applyBorder="1" applyAlignment="1">
      <x:alignment vertical="center"/>
    </x:xf>
    <x:xf numFmtId="207" fontId="5" fillId="3" borderId="0" xfId="0" applyNumberFormat="1" applyFont="1" applyFill="1" applyBorder="1" applyAlignment="1">
      <x:alignment vertical="center"/>
    </x:xf>
    <x:xf numFmtId="207" fontId="9" fillId="3" borderId="0" xfId="0" applyNumberFormat="1" applyFont="1" applyFill="1" applyBorder="1" applyAlignment="1">
      <x:alignment vertical="center"/>
    </x:xf>
    <x:xf numFmtId="208" fontId="5" fillId="3" borderId="0" xfId="0" applyNumberFormat="1" applyFont="1" applyFill="1" applyBorder="1" applyAlignment="1">
      <x:alignment vertical="center"/>
    </x:xf>
    <x:xf numFmtId="208" fontId="9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 wrapText="1"/>
    </x:xf>
    <x:xf numFmtId="0" fontId="5" fillId="0" borderId="0" xfId="0" applyNumberFormat="1" applyFont="1" applyFill="1" applyBorder="1" applyAlignment="1">
      <x:alignment horizontal="left" vertical="center"/>
    </x:xf>
    <x:xf numFmtId="200" fontId="1" fillId="0" borderId="1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2" xfId="0" applyNumberFormat="1" applyFont="1" applyFill="1" applyBorder="1"/>
    <x:xf numFmtId="202" fontId="3" fillId="0" borderId="0" xfId="0" applyNumberFormat="1" applyFont="1" applyFill="1" applyBorder="1" applyAlignment="1">
      <x:alignment vertical="center"/>
    </x:xf>
    <x:xf numFmtId="208" fontId="3" fillId="0" borderId="0" xfId="0" applyNumberFormat="1" applyFont="1" applyFill="1" applyBorder="1" applyAlignment="1">
      <x:alignment vertical="center"/>
    </x:xf>
    <x:xf numFmtId="208" fontId="10" fillId="0" borderId="0" xfId="0" applyNumberFormat="1" applyFont="1" applyFill="1" applyBorder="1" applyAlignment="1">
      <x:alignment vertical="center"/>
    </x:xf>
    <x:xf numFmtId="206" fontId="3" fillId="0" borderId="0" xfId="0" applyNumberFormat="1" applyFont="1" applyFill="1" applyBorder="1" applyAlignment="1">
      <x:alignment vertical="center"/>
    </x:xf>
    <x:xf numFmtId="205" fontId="10" fillId="0" borderId="0" xfId="0" applyNumberFormat="1" applyFont="1" applyFill="1" applyBorder="1" applyAlignment="1">
      <x:alignment vertical="center"/>
    </x:xf>
    <x:xf numFmtId="203" fontId="3" fillId="0" borderId="0" xfId="0" applyNumberFormat="1" applyFont="1" applyFill="1" applyBorder="1" applyAlignment="1">
      <x:alignment vertical="center"/>
    </x:xf>
    <x:xf numFmtId="205" fontId="3" fillId="0" borderId="0" xfId="0" applyNumberFormat="1" applyFont="1" applyFill="1" applyBorder="1" applyAlignment="1">
      <x:alignment vertical="center"/>
    </x:xf>
    <x:xf numFmtId="209" fontId="1" fillId="0" borderId="0" xfId="0" applyNumberFormat="1" applyFont="1" applyFill="1" applyBorder="1" applyAlignment="1">
      <x:alignment vertical="center"/>
    </x:xf>
    <x:xf numFmtId="209" fontId="3" fillId="0" borderId="0" xfId="0" applyNumberFormat="1" applyFont="1" applyFill="1" applyBorder="1" applyAlignment="1">
      <x:alignment vertical="center"/>
    </x:xf>
    <x:xf numFmtId="207" fontId="10" fillId="0" borderId="0" xfId="0" applyNumberFormat="1" applyFont="1" applyFill="1" applyBorder="1" applyAlignment="1">
      <x:alignment vertical="center"/>
    </x:xf>
    <x:xf numFmtId="207" fontId="3" fillId="0" borderId="0" xfId="0" applyNumberFormat="1" applyFont="1" applyFill="1" applyBorder="1" applyAlignment="1">
      <x:alignment vertical="center"/>
    </x:xf>
    <x:xf numFmtId="203" fontId="10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/>
    <x:xf numFmtId="202" fontId="3" fillId="0" borderId="0" xfId="0" applyNumberFormat="1" applyFont="1" applyFill="1" applyBorder="1"/>
    <x:xf numFmtId="208" fontId="1" fillId="0" borderId="0" xfId="0" applyNumberFormat="1" applyFont="1" applyFill="1" applyBorder="1"/>
    <x:xf numFmtId="208" fontId="10" fillId="0" borderId="0" xfId="0" applyNumberFormat="1" applyFont="1" applyFill="1" applyBorder="1"/>
    <x:xf numFmtId="208" fontId="3" fillId="0" borderId="0" xfId="0" applyNumberFormat="1" applyFont="1" applyFill="1" applyBorder="1"/>
    <x:xf numFmtId="206" fontId="1" fillId="0" borderId="0" xfId="0" applyNumberFormat="1" applyFont="1" applyFill="1" applyBorder="1"/>
    <x:xf numFmtId="206" fontId="3" fillId="0" borderId="0" xfId="0" applyNumberFormat="1" applyFont="1" applyFill="1" applyBorder="1"/>
    <x:xf numFmtId="205" fontId="1" fillId="0" borderId="0" xfId="0" applyNumberFormat="1" applyFont="1" applyFill="1" applyBorder="1"/>
    <x:xf numFmtId="205" fontId="10" fillId="0" borderId="0" xfId="0" applyNumberFormat="1" applyFont="1" applyFill="1" applyBorder="1"/>
    <x:xf numFmtId="203" fontId="1" fillId="0" borderId="0" xfId="0" applyNumberFormat="1" applyFont="1" applyFill="1" applyBorder="1"/>
    <x:xf numFmtId="203" fontId="3" fillId="0" borderId="0" xfId="0" applyNumberFormat="1" applyFont="1" applyFill="1" applyBorder="1"/>
    <x:xf numFmtId="205" fontId="3" fillId="0" borderId="0" xfId="0" applyNumberFormat="1" applyFont="1" applyFill="1" applyBorder="1"/>
    <x:xf numFmtId="209" fontId="1" fillId="0" borderId="0" xfId="0" applyNumberFormat="1" applyFont="1" applyFill="1" applyBorder="1"/>
    <x:xf numFmtId="209" fontId="3" fillId="0" borderId="0" xfId="0" applyNumberFormat="1" applyFont="1" applyFill="1" applyBorder="1"/>
    <x:xf numFmtId="207" fontId="1" fillId="0" borderId="0" xfId="0" applyNumberFormat="1" applyFont="1" applyFill="1" applyBorder="1"/>
    <x:xf numFmtId="207" fontId="10" fillId="0" borderId="0" xfId="0" applyNumberFormat="1" applyFont="1" applyFill="1" applyBorder="1"/>
    <x:xf numFmtId="207" fontId="3" fillId="0" borderId="0" xfId="0" applyNumberFormat="1" applyFont="1" applyFill="1" applyBorder="1"/>
    <x:xf numFmtId="203" fontId="10" fillId="0" borderId="0" xfId="0" applyNumberFormat="1" applyFont="1" applyFill="1" applyBorder="1"/>
    <x:xf numFmtId="202" fontId="3" fillId="4" borderId="0" xfId="0" applyNumberFormat="1" applyFont="1" applyFill="1" applyBorder="1" applyAlignment="1">
      <x:alignment vertical="center"/>
    </x:xf>
    <x:xf numFmtId="202" fontId="3" fillId="4" borderId="0" xfId="0" applyNumberFormat="1" applyFont="1" applyFill="1" applyBorder="1"/>
    <x:xf numFmtId="202" fontId="7" fillId="4" borderId="0" xfId="0" applyNumberFormat="1" applyFont="1" applyFill="1" applyBorder="1" applyAlignment="1">
      <x:alignment vertical="center"/>
    </x:xf>
    <x:xf numFmtId="202" fontId="7" fillId="4" borderId="0" xfId="0" applyNumberFormat="1" applyFont="1" applyFill="1" applyBorder="1"/>
    <x:xf numFmtId="202" fontId="8" fillId="4" borderId="0" xfId="0" applyNumberFormat="1" applyFont="1" applyFill="1" applyBorder="1" applyAlignment="1">
      <x:alignment vertical="center"/>
    </x:xf>
    <x:xf numFmtId="202" fontId="8" fillId="4" borderId="0" xfId="0" applyNumberFormat="1" applyFont="1" applyFill="1" applyBorder="1"/>
    <x:xf numFmtId="202" fontId="8" fillId="4" borderId="0" xfId="0" applyNumberFormat="1" applyFont="1" applyFill="1" applyBorder="1" applyAlignment="1">
      <x:alignment horizontal="center" vertical="center"/>
    </x:xf>
    <x:xf numFmtId="202" fontId="8" fillId="4" borderId="0" xfId="0" applyNumberFormat="1" applyFont="1" applyFill="1" applyBorder="1" applyAlignment="1">
      <x:alignment horizontal="center"/>
    </x:xf>
    <x:xf numFmtId="0" fontId="11" fillId="0" borderId="0" xfId="0" applyNumberFormat="1" applyFont="1" applyFill="1" applyBorder="1" applyAlignment="1">
      <x:alignment vertical="center"/>
    </x:xf>
    <x:xf numFmtId="0" fontId="1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208" fontId="9" fillId="0" borderId="0" xfId="0" applyNumberFormat="1" applyFont="1" applyFill="1" applyBorder="1" applyAlignment="1">
      <x:alignment vertical="center"/>
    </x:xf>
    <x:xf numFmtId="208" fontId="9" fillId="0" borderId="0" xfId="0" applyNumberFormat="1" applyFont="1" applyFill="1" applyBorder="1"/>
    <x:xf numFmtId="0" fontId="5" fillId="0" borderId="3" xfId="0" applyNumberFormat="1" applyFont="1" applyFill="1" applyBorder="1" applyAlignment="1">
      <x:alignment horizontal="left" vertical="center"/>
    </x:xf>
    <x:xf numFmtId="0" fontId="5" fillId="0" borderId="3" xfId="0" applyNumberFormat="1" applyFont="1" applyFill="1" applyBorder="1" applyAlignment="1">
      <x:alignment vertical="center"/>
    </x:xf>
    <x:xf numFmtId="208" fontId="9" fillId="0" borderId="3" xfId="0" applyNumberFormat="1" applyFont="1" applyFill="1" applyBorder="1" applyAlignment="1">
      <x:alignment vertical="center"/>
    </x:xf>
    <x:xf numFmtId="208" fontId="9" fillId="0" borderId="3" xfId="0" applyNumberFormat="1" applyFont="1" applyFill="1" applyBorder="1"/>
    <x:xf numFmtId="205" fontId="9" fillId="0" borderId="0" xfId="0" applyNumberFormat="1" applyFont="1" applyFill="1" applyBorder="1" applyAlignment="1">
      <x:alignment vertical="center"/>
    </x:xf>
    <x:xf numFmtId="205" fontId="9" fillId="0" borderId="0" xfId="0" applyNumberFormat="1" applyFont="1" applyFill="1" applyBorder="1"/>
    <x:xf numFmtId="205" fontId="9" fillId="0" borderId="3" xfId="0" applyNumberFormat="1" applyFont="1" applyFill="1" applyBorder="1" applyAlignment="1">
      <x:alignment vertical="center"/>
    </x:xf>
    <x:xf numFmtId="205" fontId="9" fillId="0" borderId="3" xfId="0" applyNumberFormat="1" applyFont="1" applyFill="1" applyBorder="1"/>
    <x:xf numFmtId="205" fontId="12" fillId="0" borderId="0" xfId="0" applyNumberFormat="1" applyFont="1" applyFill="1" applyBorder="1" applyAlignment="1">
      <x:alignment vertical="center"/>
    </x:xf>
    <x:xf numFmtId="205" fontId="12" fillId="0" borderId="0" xfId="0" applyNumberFormat="1" applyFont="1" applyFill="1" applyBorder="1"/>
    <x:xf numFmtId="205" fontId="12" fillId="0" borderId="3" xfId="0" applyNumberFormat="1" applyFont="1" applyFill="1" applyBorder="1" applyAlignment="1">
      <x:alignment vertical="center"/>
    </x:xf>
    <x:xf numFmtId="205" fontId="12" fillId="0" borderId="3" xfId="0" applyNumberFormat="1" applyFont="1" applyFill="1" applyBorder="1"/>
    <x:xf numFmtId="0" fontId="13" fillId="0" borderId="0" xfId="0" applyNumberFormat="1" applyFont="1" applyFill="1" applyBorder="1" applyAlignment="1">
      <x:alignment horizontal="left" vertical="center"/>
    </x:xf>
    <x:xf numFmtId="0" fontId="13" fillId="0" borderId="0" xfId="0" applyNumberFormat="1" applyFont="1" applyFill="1" applyBorder="1" applyAlignment="1">
      <x:alignment vertical="center"/>
    </x:xf>
    <x:xf numFmtId="207" fontId="14" fillId="0" borderId="0" xfId="0" applyNumberFormat="1" applyFont="1" applyFill="1" applyBorder="1" applyAlignment="1">
      <x:alignment vertical="center"/>
    </x:xf>
    <x:xf numFmtId="207" fontId="14" fillId="0" borderId="0" xfId="0" applyNumberFormat="1" applyFont="1" applyFill="1" applyBorder="1"/>
    <x:xf numFmtId="208" fontId="14" fillId="0" borderId="0" xfId="0" applyNumberFormat="1" applyFont="1" applyFill="1" applyBorder="1" applyAlignment="1">
      <x:alignment vertical="center"/>
    </x:xf>
    <x:xf numFmtId="208" fontId="14" fillId="0" borderId="0" xfId="0" applyNumberFormat="1" applyFont="1" applyFill="1" applyBorder="1"/>
    <x:xf numFmtId="207" fontId="15" fillId="0" borderId="0" xfId="0" applyNumberFormat="1" applyFont="1" applyFill="1" applyBorder="1" applyAlignment="1">
      <x:alignment vertical="center"/>
    </x:xf>
    <x:xf numFmtId="207" fontId="15" fillId="0" borderId="0" xfId="0" applyNumberFormat="1" applyFont="1" applyFill="1" applyBorder="1"/>
    <x:xf numFmtId="209" fontId="1" fillId="2" borderId="0" xfId="0" applyNumberFormat="1" applyFont="1" applyFill="1" applyBorder="1" applyAlignment="1">
      <x:alignment vertical="center"/>
    </x:xf>
    <x:xf numFmtId="209" fontId="4" fillId="2" borderId="0" xfId="0" applyNumberFormat="1" applyFont="1" applyFill="1" applyBorder="1" applyAlignment="1">
      <x:alignment vertical="center"/>
    </x:xf>
    <x:xf numFmtId="201" fontId="10" fillId="0" borderId="0" xfId="0" applyNumberFormat="1" applyFont="1" applyFill="1" applyBorder="1" applyAlignment="1">
      <x:alignment vertical="center"/>
    </x:xf>
    <x:xf numFmtId="210" fontId="1" fillId="0" borderId="0" xfId="0" applyNumberFormat="1" applyFont="1" applyFill="1" applyBorder="1" applyAlignment="1">
      <x:alignment vertical="center"/>
    </x:xf>
    <x:xf numFmtId="210" fontId="3" fillId="0" borderId="0" xfId="0" applyNumberFormat="1" applyFont="1" applyFill="1" applyBorder="1" applyAlignment="1">
      <x:alignment vertical="center"/>
    </x:xf>
    <x:xf numFmtId="209" fontId="12" fillId="0" borderId="0" xfId="0" applyNumberFormat="1" applyFont="1" applyFill="1" applyBorder="1" applyAlignment="1">
      <x:alignment vertical="center"/>
    </x:xf>
    <x:xf numFmtId="210" fontId="12" fillId="0" borderId="0" xfId="0" applyNumberFormat="1" applyFont="1" applyFill="1" applyBorder="1" applyAlignment="1">
      <x:alignment vertical="center"/>
    </x:xf>
    <x:xf numFmtId="200" fontId="10" fillId="0" borderId="0" xfId="0" applyNumberFormat="1" applyFont="1" applyFill="1" applyBorder="1" applyAlignment="1">
      <x:alignment vertical="center"/>
    </x:xf>
    <x:xf numFmtId="200" fontId="16" fillId="0" borderId="0" xfId="0" applyNumberFormat="1" applyFont="1" applyFill="1" applyBorder="1" applyAlignment="1">
      <x:alignment vertical="center"/>
    </x:xf>
    <x:xf numFmtId="209" fontId="10" fillId="0" borderId="0" xfId="0" applyNumberFormat="1" applyFont="1" applyFill="1" applyBorder="1" applyAlignment="1">
      <x:alignment vertical="center"/>
    </x:xf>
    <x:xf numFmtId="207" fontId="17" fillId="2" borderId="0" xfId="0" applyNumberFormat="1" applyFont="1" applyFill="1" applyBorder="1" applyAlignment="1">
      <x:alignment vertical="center"/>
    </x:xf>
    <x:xf numFmtId="207" fontId="9" fillId="0" borderId="0" xfId="0" applyNumberFormat="1" applyFont="1" applyFill="1" applyBorder="1" applyAlignment="1">
      <x:alignment vertical="center"/>
    </x:xf>
    <x:xf numFmtId="207" fontId="17" fillId="2" borderId="3" xfId="0" applyNumberFormat="1" applyFont="1" applyFill="1" applyBorder="1" applyAlignment="1">
      <x:alignment vertical="center"/>
    </x:xf>
    <x:xf numFmtId="207" fontId="9" fillId="0" borderId="3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horizontal="center" vertical="center" wrapText="1"/>
    </x:xf>
    <x:xf numFmtId="206" fontId="10" fillId="0" borderId="0" xfId="0" applyNumberFormat="1" applyFont="1" applyFill="1" applyBorder="1" applyAlignment="1">
      <x:alignment vertical="center"/>
    </x:xf>
    <x:xf numFmtId="206" fontId="5" fillId="0" borderId="0" xfId="0" applyNumberFormat="1" applyFont="1" applyFill="1" applyBorder="1" applyAlignment="1">
      <x:alignment vertical="center"/>
    </x:xf>
    <x:xf numFmtId="206" fontId="5" fillId="0" borderId="3" xfId="0" applyNumberFormat="1" applyFont="1" applyFill="1" applyBorder="1" applyAlignment="1">
      <x:alignment vertical="center"/>
    </x:xf>
    <x:xf numFmtId="205" fontId="5" fillId="0" borderId="0" xfId="0" applyNumberFormat="1" applyFont="1" applyFill="1" applyBorder="1" applyAlignment="1">
      <x:alignment vertical="center"/>
    </x:xf>
    <x:xf numFmtId="205" fontId="5" fillId="0" borderId="3" xfId="0" applyNumberFormat="1" applyFont="1" applyFill="1" applyBorder="1" applyAlignment="1">
      <x:alignment vertical="center"/>
    </x:xf>
    <x:xf numFmtId="209" fontId="5" fillId="0" borderId="0" xfId="0" applyNumberFormat="1" applyFont="1" applyFill="1" applyBorder="1" applyAlignment="1">
      <x:alignment vertical="center"/>
    </x:xf>
    <x:xf numFmtId="209" fontId="5" fillId="0" borderId="3" xfId="0" applyNumberFormat="1" applyFont="1" applyFill="1" applyBorder="1" applyAlignment="1">
      <x:alignment vertical="center"/>
    </x:xf>
    <x:xf numFmtId="207" fontId="13" fillId="0" borderId="0" xfId="0" applyNumberFormat="1" applyFont="1" applyFill="1" applyBorder="1" applyAlignment="1">
      <x:alignment vertical="center"/>
    </x:xf>
    <x:xf numFmtId="208" fontId="13" fillId="0" borderId="0" xfId="0" applyNumberFormat="1" applyFont="1" applyFill="1" applyBorder="1" applyAlignment="1">
      <x:alignment vertical="center"/>
    </x:xf>
    <x:xf numFmtId="211" fontId="1" fillId="0" borderId="0" xfId="0" applyNumberFormat="1" applyFont="1" applyFill="1" applyBorder="1" applyAlignment="1">
      <x:alignment vertical="center"/>
    </x:xf>
    <x:xf numFmtId="211" fontId="1" fillId="2" borderId="0" xfId="0" applyNumberFormat="1" applyFont="1" applyFill="1" applyBorder="1" applyAlignment="1">
      <x:alignment vertical="center"/>
    </x:xf>
    <x:xf numFmtId="211" fontId="4" fillId="2" borderId="0" xfId="0" applyNumberFormat="1" applyFont="1" applyFill="1" applyBorder="1" applyAlignment="1">
      <x:alignment vertical="center"/>
    </x:xf>
    <x:xf numFmtId="209" fontId="9" fillId="0" borderId="0" xfId="0" applyNumberFormat="1" applyFont="1" applyFill="1" applyBorder="1" applyAlignment="1">
      <x:alignment vertical="center"/>
    </x:xf>
    <x:xf numFmtId="209" fontId="9" fillId="0" borderId="3" xfId="0" applyNumberFormat="1" applyFont="1" applyFill="1" applyBorder="1" applyAlignment="1">
      <x:alignment vertical="center"/>
    </x:xf>
  </x:cellXfs>
  <x:cellStyles count="1">
    <x:cellStyle name="Normal" xfId="0"/>
  </x:cellStyles>
  <x:dxfs count="21">
    <x:dxf>
      <x:font>
        <x:b/>
        <x:color rgb="FFB32F32"/>
      </x:font>
      <x:fill>
        <x:patternFill patternType="solid">
          <x:bgColor rgb="FFFDE9E9"/>
        </x:patternFill>
      </x:fill>
    </x:dxf>
    <x:dxf>
      <x:font>
        <x:b/>
        <x:color rgb="FFB32F32"/>
      </x:font>
      <x:fill>
        <x:patternFill patternType="solid">
          <x:bgColor rgb="FFFDE9E9"/>
        </x:patternFill>
      </x:fill>
    </x:dxf>
    <x:dxf>
      <x:font>
        <x:b/>
        <x:color rgb="FFB32F32"/>
      </x:font>
      <x:fill>
        <x:patternFill patternType="solid">
          <x:bgColor rgb="FFFDE9E9"/>
        </x:patternFill>
      </x:fill>
    </x:dxf>
    <x:dxf>
      <x:font>
        <x:b/>
        <x:color rgb="FFB32F32"/>
      </x:font>
      <x:fill>
        <x:patternFill patternType="solid">
          <x:bgColor rgb="FFFDE9E9"/>
        </x:patternFill>
      </x:fill>
    </x:dxf>
    <x:dxf>
      <x:font>
        <x:b/>
        <x:color rgb="FFB32F32"/>
      </x:font>
      <x:fill>
        <x:patternFill patternType="solid">
          <x:bgColor rgb="FFFDE9E9"/>
        </x:patternFill>
      </x:fill>
    </x:dxf>
    <x:dxf>
      <x:font>
        <x:b/>
        <x:color rgb="FFB32F32"/>
      </x:font>
      <x:fill>
        <x:patternFill patternType="solid">
          <x:bgColor rgb="FFFDE9E9"/>
        </x:patternFill>
      </x:fill>
    </x:dxf>
    <x:dxf>
      <x:font>
        <x:b/>
        <x:color rgb="FFB32F32"/>
      </x:font>
      <x:fill>
        <x:patternFill patternType="solid">
          <x:bgColor rgb="FFFDE9E9"/>
        </x:patternFill>
      </x:fill>
    </x:dxf>
    <x:dxf>
      <x:font>
        <x:b/>
        <x:color rgb="FFB32F32"/>
      </x:font>
      <x:fill>
        <x:patternFill patternType="solid">
          <x:bgColor rgb="FFFDE9E9"/>
        </x:patternFill>
      </x:fill>
    </x:dxf>
    <x:dxf>
      <x:font>
        <x:b/>
        <x:color rgb="FFB32F32"/>
      </x:font>
      <x:fill>
        <x:patternFill patternType="solid">
          <x:bgColor rgb="FFFDE9E9"/>
        </x:patternFill>
      </x:fill>
    </x:dxf>
    <x:dxf>
      <x:font>
        <x:b/>
        <x:color rgb="FFB32F32"/>
      </x:font>
      <x:fill>
        <x:patternFill patternType="solid">
          <x:bgColor rgb="FFFDE9E9"/>
        </x:patternFill>
      </x:fill>
    </x:dxf>
    <x:dxf>
      <x:font>
        <x:b/>
        <x:color rgb="FFB32F32"/>
      </x:font>
      <x:fill>
        <x:patternFill patternType="solid">
          <x:bgColor rgb="FFFDE9E9"/>
        </x:patternFill>
      </x:fill>
    </x:dxf>
    <x:dxf>
      <x:font>
        <x:b/>
        <x:color rgb="FFB32F32"/>
      </x:font>
      <x:fill>
        <x:patternFill patternType="solid">
          <x:bgColor rgb="FFFDE9E9"/>
        </x:patternFill>
      </x:fill>
    </x:dxf>
    <x:dxf>
      <x:font>
        <x:b/>
        <x:color rgb="FFB32F32"/>
      </x:font>
      <x:fill>
        <x:patternFill patternType="solid">
          <x:bgColor rgb="FFFDE9E9"/>
        </x:patternFill>
      </x:fill>
    </x:dxf>
    <x:dxf>
      <x:font>
        <x:b/>
        <x:color rgb="FFB32F32"/>
      </x:font>
      <x:fill>
        <x:patternFill patternType="solid">
          <x:bgColor rgb="FFFDE9E9"/>
        </x:patternFill>
      </x:fill>
    </x:dxf>
    <x:dxf>
      <x:font>
        <x:b/>
        <x:color rgb="FFB32F32"/>
      </x:font>
      <x:fill>
        <x:patternFill patternType="solid">
          <x:bgColor rgb="FFFDE9E9"/>
        </x:patternFill>
      </x:fill>
    </x:dxf>
    <x:dxf>
      <x:font>
        <x:b/>
        <x:color rgb="FFB32F32"/>
      </x:font>
      <x:fill>
        <x:patternFill patternType="solid">
          <x:bgColor rgb="FFFDE9E9"/>
        </x:patternFill>
      </x:fill>
    </x:dxf>
    <x:dxf>
      <x:font>
        <x:b/>
        <x:color rgb="FFB32F32"/>
      </x:font>
      <x:fill>
        <x:patternFill patternType="solid">
          <x:bgColor rgb="FFFDE9E9"/>
        </x:patternFill>
      </x:fill>
    </x:dxf>
    <x:dxf>
      <x:font>
        <x:b/>
        <x:color rgb="FFB32F32"/>
      </x:font>
      <x:fill>
        <x:patternFill patternType="solid">
          <x:bgColor rgb="FFFDE9E9"/>
        </x:patternFill>
      </x:fill>
    </x:dxf>
    <x:dxf>
      <x:font>
        <x:b/>
        <x:color rgb="FFB32F32"/>
      </x:font>
      <x:fill>
        <x:patternFill patternType="solid">
          <x:bgColor rgb="FFFDE9E9"/>
        </x:patternFill>
      </x:fill>
    </x:dxf>
    <x:dxf>
      <x:font>
        <x:b/>
        <x:color rgb="FFB32F32"/>
      </x:font>
      <x:fill>
        <x:patternFill patternType="solid">
          <x:bgColor rgb="FFFDE9E9"/>
        </x:patternFill>
      </x:fill>
    </x:dxf>
    <x:dxf>
      <x:font>
        <x:b/>
        <x:color rgb="FFB32F32"/>
      </x:font>
      <x:fill>
        <x:patternFill patternType="solid">
          <x:bgColor rgb="FFFDE9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ec54ef3e01469b" /><Relationship Type="http://schemas.openxmlformats.org/officeDocument/2006/relationships/theme" Target="/xl/theme/theme1.xml" Id="R4dcb80e36e7a4d82" /><Relationship Type="http://schemas.openxmlformats.org/officeDocument/2006/relationships/sharedStrings" Target="/xl/sharedStrings.xml" Id="R5321dd70e0494895" /><Relationship Type="http://schemas.openxmlformats.org/officeDocument/2006/relationships/worksheet" Target="/xl/worksheets/sheet1.xml" Id="Rccfef8752248423a" /><Relationship Type="http://schemas.openxmlformats.org/officeDocument/2006/relationships/worksheet" Target="/xl/worksheets/sheet2.xml" Id="R8a2b1159f3424b74" /><Relationship Type="http://schemas.openxmlformats.org/officeDocument/2006/relationships/worksheet" Target="/xl/worksheets/sheet3.xml" Id="R2b4ef5a30e804c91" /><Relationship Type="http://schemas.openxmlformats.org/officeDocument/2006/relationships/worksheet" Target="/xl/worksheets/sheet4.xml" Id="Rc2a2065c0637458d" /><Relationship Type="http://schemas.openxmlformats.org/officeDocument/2006/relationships/worksheet" Target="/xl/worksheets/sheet5.xml" Id="R4e0f70f5b1784fc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46a2681c038425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Annual revenue and operating profit (INR millions)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Revenue INR</c:v>
          </c:tx>
          <c:spPr>
            <a:ln xmlns:a="http://schemas.openxmlformats.org/drawingml/2006/main" w="19050">
              <a:solidFill>
                <a:srgbClr val="1559BB"/>
              </a:solidFill>
              <a:prstDash val="solid"/>
            </a:ln>
          </c:spPr>
          <c:marker>
            <c:symbol val="none"/>
          </c:marker>
          <c:cat>
            <c:strRef>
              <c:f>'Overview'!$L$33:$L$37</c:f>
              <c:strCache>
                <c:ptCount val="0"/>
              </c:strCache>
            </c:strRef>
          </c:cat>
          <c:val>
            <c:numRef>
              <c:f>'Overview'!$M$33:$M$37</c:f>
              <c:numCache>
                <c:formatCode>"INR "#,##0;("INR "#,##0);"-"</c:formatCode>
                <c:ptCount val="0"/>
              </c:numCache>
            </c:numRef>
          </c:val>
          <c:smooth val="0"/>
        </c:ser>
        <c:ser>
          <c:idx val="1"/>
          <c:order val="1"/>
          <c:tx>
            <c:v>Operating profit INR</c:v>
          </c:tx>
          <c:spPr>
            <a:ln xmlns:a="http://schemas.openxmlformats.org/drawingml/2006/main" w="19050">
              <a:solidFill>
                <a:srgbClr val="176746"/>
              </a:solidFill>
              <a:prstDash val="solid"/>
            </a:ln>
          </c:spPr>
          <c:marker>
            <c:symbol val="none"/>
          </c:marker>
          <c:cat>
            <c:strRef>
              <c:f>'Overview'!$L$33:$L$37</c:f>
              <c:strCache>
                <c:ptCount val="0"/>
              </c:strCache>
            </c:strRef>
          </c:cat>
          <c:val>
            <c:numRef>
              <c:f>'Overview'!$N$33:$N$37</c:f>
              <c:numCache>
                <c:formatCode>"INR "#,##0;("INR "#,##0);"-"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,,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2</xdr:col>
      <xdr:colOff>0</xdr:colOff>
      <xdr:row>30</xdr:row>
      <xdr:rowOff>0</xdr:rowOff>
    </xdr:from>
    <xdr:to>
      <xdr:col>9</xdr:col>
      <xdr:colOff>0</xdr:colOff>
      <xdr:row>46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46a2681c038425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696236d65eb4648" /></Relationships>
</file>

<file path=xl/worksheets/sheet1.xml><?xml version="1.0" encoding="utf-8"?>
<x:worksheet xmlns:x="http://schemas.openxmlformats.org/spreadsheetml/2006/main">
  <x:sheetPr>
    <x:tabColor rgb="FF152D43"/>
  </x:sheetPr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3" hidden="0" customWidth="1"/>
    <x:col min="11" max="11" width="64" hidden="0" customWidth="1"/>
    <x:col min="12" max="12" width="12" hidden="0" customWidth="1"/>
    <x:col min="13" max="13" width="21" hidden="0" customWidth="1"/>
    <x:col min="14" max="14" width="21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3" customHeight="1">
      <x:c r="A2" s="2"/>
      <x:c r="B2" s="2"/>
      <x:c r="C2" s="12" t="str">
        <x:v>2UP growth and funding model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3" customHeight="1">
      <x:c r="A3" s="2"/>
      <x:c r="B3" s="2"/>
      <x:c r="C3" s="4" t="str">
        <x:v>Illustrative forecast prepared 4 Oct 2026. Replace amber inputs before fundraising.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23" customHeight="1">
      <x:c r="A4" s="2"/>
      <x:c r="B4" s="2"/>
      <x:c r="C4" s="4" t="str">
        <x:v>Case selected:</x:v>
      </x:c>
      <x:c r="D4" s="8" t="str">
        <x:f>CHOOSE('Assumptions'!$D$4,"Base","Downside")</x:f>
        <x:v>Base</x:v>
      </x:c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7" customHeight="1">
      <x:c r="A6" s="2"/>
      <x:c r="B6" s="2"/>
      <x:c r="C6" s="2"/>
      <x:c r="D6" s="2"/>
      <x:c r="E6" s="50" t="str">
        <x:v>Y1</x:v>
      </x:c>
      <x:c r="F6" s="50" t="str">
        <x:v>Y2</x:v>
      </x:c>
      <x:c r="G6" s="50" t="str">
        <x:v>Y3</x:v>
      </x:c>
      <x:c r="H6" s="50" t="str">
        <x:v>Y4</x:v>
      </x:c>
      <x:c r="I6" s="50" t="str">
        <x:v>Y5</x:v>
      </x:c>
      <x:c r="J6" s="2"/>
      <x:c r="K6" s="2"/>
      <x:c r="L6" s="2"/>
      <x:c r="M6" s="2"/>
      <x:c r="N6" s="2"/>
      <x:c r="O6" s="2"/>
      <x:c r="P6" s="2"/>
      <x:c r="Q6" s="2"/>
    </x:row>
    <x:row r="7" ht="23" customHeight="1">
      <x:c r="A7" s="2"/>
      <x:c r="B7" s="2"/>
      <x:c r="C7" s="4" t="str">
        <x:v>Year ending</x:v>
      </x:c>
      <x:c r="D7" s="2"/>
      <x:c r="E7" s="22" t="n">
        <x:f>'Forecast'!P6</x:f>
        <x:v>46661</x:v>
      </x:c>
      <x:c r="F7" s="22" t="n">
        <x:f>'Forecast'!AB6</x:f>
        <x:v>47027</x:v>
      </x:c>
      <x:c r="G7" s="22" t="n">
        <x:f>'Forecast'!AN6</x:f>
        <x:v>47392</x:v>
      </x:c>
      <x:c r="H7" s="22" t="n">
        <x:f>'Forecast'!AZ6</x:f>
        <x:v>47757</x:v>
      </x:c>
      <x:c r="I7" s="22" t="n">
        <x:f>'Forecast'!BL6</x:f>
        <x:v>48122</x:v>
      </x:c>
      <x:c r="J7" s="2"/>
      <x:c r="K7" s="2"/>
      <x:c r="L7" s="2"/>
      <x:c r="M7" s="2"/>
      <x:c r="N7" s="2"/>
      <x:c r="O7" s="2"/>
      <x:c r="P7" s="2"/>
      <x:c r="Q7" s="2"/>
    </x:row>
    <x:row r="8" ht="23" customHeight="1">
      <x:c r="A8" s="2"/>
      <x:c r="B8" s="2"/>
      <x:c r="C8" s="4" t="str">
        <x:v>Paid outlets, India at year end</x:v>
      </x:c>
      <x:c r="D8" s="2"/>
      <x:c r="E8" s="35" t="n">
        <x:f>'Forecast'!P11</x:f>
        <x:v>91.88663819168761</x:v>
      </x:c>
      <x:c r="F8" s="35" t="n">
        <x:f>'Forecast'!AB11</x:f>
        <x:v>715.1641214813699</x:v>
      </x:c>
      <x:c r="G8" s="35" t="n">
        <x:f>'Forecast'!AN11</x:f>
        <x:v>2716.899453916107</x:v>
      </x:c>
      <x:c r="H8" s="35" t="n">
        <x:f>'Forecast'!AZ11</x:f>
        <x:v>7635.876095073353</x:v>
      </x:c>
      <x:c r="I8" s="35" t="n">
        <x:f>'Forecast'!BL11</x:f>
        <x:v>17271.487907613646</x:v>
      </x:c>
      <x:c r="J8" s="2"/>
      <x:c r="K8" s="2"/>
      <x:c r="L8" s="2"/>
      <x:c r="M8" s="2"/>
      <x:c r="N8" s="2"/>
      <x:c r="O8" s="2"/>
      <x:c r="P8" s="2"/>
      <x:c r="Q8" s="2"/>
    </x:row>
    <x:row r="9" ht="23" customHeight="1">
      <x:c r="A9" s="2"/>
      <x:c r="B9" s="2"/>
      <x:c r="C9" s="4" t="str">
        <x:v>Paid outlets, UAE at year end</x:v>
      </x:c>
      <x:c r="D9" s="2"/>
      <x:c r="E9" s="35" t="n">
        <x:f>'Forecast'!P19</x:f>
        <x:v>23.09722420231021</x:v>
      </x:c>
      <x:c r="F9" s="35" t="n">
        <x:f>'Forecast'!AB19</x:f>
        <x:v>159.81338323569022</x:v>
      </x:c>
      <x:c r="G9" s="35" t="n">
        <x:f>'Forecast'!AN19</x:f>
        <x:v>666.5815683867343</x:v>
      </x:c>
      <x:c r="H9" s="35" t="n">
        <x:f>'Forecast'!AZ19</x:f>
        <x:v>1652.0700137211475</x:v>
      </x:c>
      <x:c r="I9" s="35" t="n">
        <x:f>'Forecast'!BL19</x:f>
        <x:v>3481.780260650607</x:v>
      </x:c>
      <x:c r="J9" s="2"/>
      <x:c r="K9" s="2"/>
      <x:c r="L9" s="2"/>
      <x:c r="M9" s="2"/>
      <x:c r="N9" s="2"/>
      <x:c r="O9" s="2"/>
      <x:c r="P9" s="2"/>
      <x:c r="Q9" s="2"/>
    </x:row>
    <x:row r="10" ht="23" customHeight="1">
      <x:c r="A10" s="2"/>
      <x:c r="B10" s="2"/>
      <x:c r="C10" s="106" t="str">
        <x:v>Total paid outlets at year end</x:v>
      </x:c>
      <x:c r="D10" s="107"/>
      <x:c r="E10" s="143" t="n">
        <x:f>SUM(E8:E9)</x:f>
        <x:v>114.98386239399781</x:v>
      </x:c>
      <x:c r="F10" s="143" t="n">
        <x:f>SUM(F8:F9)</x:f>
        <x:v>874.9775047170601</x:v>
      </x:c>
      <x:c r="G10" s="143" t="n">
        <x:f>SUM(G8:G9)</x:f>
        <x:v>3383.4810223028417</x:v>
      </x:c>
      <x:c r="H10" s="143" t="n">
        <x:f>SUM(H8:H9)</x:f>
        <x:v>9287.9461087945</x:v>
      </x:c>
      <x:c r="I10" s="143" t="n">
        <x:f>SUM(I8:I9)</x:f>
        <x:v>20753.268168264254</x:v>
      </x:c>
      <x:c r="J10" s="2"/>
      <x:c r="K10" s="2"/>
      <x:c r="L10" s="2"/>
      <x:c r="M10" s="2"/>
      <x:c r="N10" s="2"/>
      <x:c r="O10" s="2"/>
      <x:c r="P10" s="2"/>
      <x:c r="Q10" s="2"/>
    </x:row>
    <x:row r="11" ht="23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3" customHeight="1">
      <x:c r="A12" s="2"/>
      <x:c r="B12" s="2"/>
      <x:c r="C12" s="4" t="str">
        <x:v>Subscription revenue</x:v>
      </x:c>
      <x:c r="D12" s="2"/>
      <x:c r="E12" s="32" t="n">
        <x:f>SUM('Forecast'!E25:P25)</x:f>
        <x:v>1675768.58472948</x:v>
      </x:c>
      <x:c r="F12" s="32" t="n">
        <x:f>SUM('Forecast'!Q25:AB25)</x:f>
        <x:v>14734900.361685162</x:v>
      </x:c>
      <x:c r="G12" s="32" t="n">
        <x:f>SUM('Forecast'!AC25:AN25)</x:f>
        <x:v>65922926.623581246</x:v>
      </x:c>
      <x:c r="H12" s="32" t="n">
        <x:f>SUM('Forecast'!AO25:AZ25)</x:f>
        <x:v>198350640.1217869</x:v>
      </x:c>
      <x:c r="I12" s="32" t="n">
        <x:f>SUM('Forecast'!BA25:BL25)</x:f>
        <x:v>474609943.43225646</x:v>
      </x:c>
      <x:c r="J12" s="2"/>
      <x:c r="K12" s="2"/>
      <x:c r="L12" s="2"/>
      <x:c r="M12" s="2"/>
      <x:c r="N12" s="2"/>
      <x:c r="O12" s="2"/>
      <x:c r="P12" s="2"/>
      <x:c r="Q12" s="2"/>
    </x:row>
    <x:row r="13" ht="23" customHeight="1">
      <x:c r="A13" s="2"/>
      <x:c r="B13" s="2"/>
      <x:c r="C13" s="4" t="str">
        <x:v>Custom services revenue</x:v>
      </x:c>
      <x:c r="D13" s="2"/>
      <x:c r="E13" s="32" t="n">
        <x:f>SUM('Forecast'!E34:P34)</x:f>
        <x:v>1335034.9707283864</x:v>
      </x:c>
      <x:c r="F13" s="32" t="n">
        <x:f>SUM('Forecast'!Q34:AB34)</x:f>
        <x:v>3270057.941456773</x:v>
      </x:c>
      <x:c r="G13" s="32" t="n">
        <x:f>SUM('Forecast'!AC34:AN34)</x:f>
        <x:v>5940127.882913546</x:v>
      </x:c>
      <x:c r="H13" s="32" t="n">
        <x:f>SUM('Forecast'!AO34:AZ34)</x:f>
        <x:v>8010209.824370318</x:v>
      </x:c>
      <x:c r="I13" s="32" t="n">
        <x:f>SUM('Forecast'!BA34:BL34)</x:f>
        <x:v>10680279.765827091</x:v>
      </x:c>
      <x:c r="J13" s="2"/>
      <x:c r="K13" s="2"/>
      <x:c r="L13" s="2"/>
      <x:c r="M13" s="2"/>
      <x:c r="N13" s="2"/>
      <x:c r="O13" s="2"/>
      <x:c r="P13" s="2"/>
      <x:c r="Q13" s="2"/>
    </x:row>
    <x:row r="14" ht="23" customHeight="1">
      <x:c r="A14" s="2"/>
      <x:c r="B14" s="2"/>
      <x:c r="C14" s="106" t="str">
        <x:v>Total recognized revenue</x:v>
      </x:c>
      <x:c r="D14" s="107"/>
      <x:c r="E14" s="145" t="n">
        <x:f>SUM('Forecast'!E35:P35)</x:f>
        <x:v>3010803.555457867</x:v>
      </x:c>
      <x:c r="F14" s="145" t="n">
        <x:f>SUM('Forecast'!Q35:AB35)</x:f>
        <x:v>18004958.303141933</x:v>
      </x:c>
      <x:c r="G14" s="145" t="n">
        <x:f>SUM('Forecast'!AC35:AN35)</x:f>
        <x:v>71863054.5064948</x:v>
      </x:c>
      <x:c r="H14" s="145" t="n">
        <x:f>SUM('Forecast'!AO35:AZ35)</x:f>
        <x:v>206360849.94615722</x:v>
      </x:c>
      <x:c r="I14" s="145" t="n">
        <x:f>SUM('Forecast'!BA35:BL35)</x:f>
        <x:v>485290223.19808346</x:v>
      </x:c>
      <x:c r="J14" s="2"/>
      <x:c r="K14" s="2"/>
      <x:c r="L14" s="2"/>
      <x:c r="M14" s="2"/>
      <x:c r="N14" s="2"/>
      <x:c r="O14" s="2"/>
      <x:c r="P14" s="2"/>
      <x:c r="Q14" s="2"/>
    </x:row>
    <x:row r="15" ht="23" customHeight="1">
      <x:c r="A15" s="2"/>
      <x:c r="B15" s="2"/>
      <x:c r="C15" s="118" t="str">
        <x:v>Software gross margin</x:v>
      </x:c>
      <x:c r="D15" s="119"/>
      <x:c r="E15" s="148" t="n">
        <x:f>SUM('Forecast'!E42:P42)/SUM('Forecast'!E25:P25)</x:f>
        <x:v>0.6332171419184165</x:v>
      </x:c>
      <x:c r="F15" s="148" t="n">
        <x:f>SUM('Forecast'!Q42:AB42)/SUM('Forecast'!Q25:AB25)</x:f>
        <x:v>0.7935372428140495</x:v>
      </x:c>
      <x:c r="G15" s="148" t="n">
        <x:f>SUM('Forecast'!AC42:AN42)/SUM('Forecast'!AC25:AN25)</x:f>
        <x:v>0.8272913245899604</x:v>
      </x:c>
      <x:c r="H15" s="148" t="n">
        <x:f>SUM('Forecast'!AO42:AZ42)/SUM('Forecast'!AO25:AZ25)</x:f>
        <x:v>0.8426655121635601</x:v>
      </x:c>
      <x:c r="I15" s="148" t="n">
        <x:f>SUM('Forecast'!BA42:BL42)/SUM('Forecast'!BA25:BL25)</x:f>
        <x:v>0.8522134391591916</x:v>
      </x:c>
      <x:c r="J15" s="2"/>
      <x:c r="K15" s="2"/>
      <x:c r="L15" s="2"/>
      <x:c r="M15" s="2"/>
      <x:c r="N15" s="2"/>
      <x:c r="O15" s="2"/>
      <x:c r="P15" s="2"/>
      <x:c r="Q15" s="2"/>
    </x:row>
    <x:row r="16" ht="23" customHeight="1">
      <x:c r="A16" s="2"/>
      <x:c r="B16" s="2"/>
      <x:c r="C16" s="118" t="str">
        <x:v>Services share of total revenue</x:v>
      </x:c>
      <x:c r="D16" s="119"/>
      <x:c r="E16" s="148" t="n">
        <x:f>E13/E14</x:f>
        <x:v>0.4434148379784816</x:v>
      </x:c>
      <x:c r="F16" s="148" t="n">
        <x:f>F13/F14</x:f>
        <x:v>0.18161985639734224</x:v>
      </x:c>
      <x:c r="G16" s="148" t="n">
        <x:f>G13/G14</x:f>
        <x:v>0.08265899527519655</x:v>
      </x:c>
      <x:c r="H16" s="148" t="n">
        <x:f>H13/H14</x:f>
        <x:v>0.038816518862275995</x:v>
      </x:c>
      <x:c r="I16" s="148" t="n">
        <x:f>I13/I14</x:f>
        <x:v>0.022008025827191795</x:v>
      </x:c>
      <x:c r="J16" s="2"/>
      <x:c r="K16" s="2"/>
      <x:c r="L16" s="2"/>
      <x:c r="M16" s="2"/>
      <x:c r="N16" s="2"/>
      <x:c r="O16" s="2"/>
      <x:c r="P16" s="2"/>
      <x:c r="Q16" s="2"/>
    </x:row>
    <x:row r="17" ht="23" customHeight="1">
      <x:c r="A17" s="2"/>
      <x:c r="B17" s="2"/>
      <x:c r="C17" s="106" t="str">
        <x:v>Operating profit before D&amp;A / tax</x:v>
      </x:c>
      <x:c r="D17" s="107"/>
      <x:c r="E17" s="145" t="n">
        <x:f>SUM('Forecast'!E58:P58)</x:f>
        <x:v>-4785817.5147701185</x:v>
      </x:c>
      <x:c r="F17" s="145" t="n">
        <x:f>SUM('Forecast'!Q58:AB58)</x:f>
        <x:v>-7692480.154502122</x:v>
      </x:c>
      <x:c r="G17" s="145" t="n">
        <x:f>SUM('Forecast'!AC58:AN58)</x:f>
        <x:v>-3656270.9026558204</x:v>
      </x:c>
      <x:c r="H17" s="145" t="n">
        <x:f>SUM('Forecast'!AO58:AZ58)</x:f>
        <x:v>28727552.258380722</x:v>
      </x:c>
      <x:c r="I17" s="145" t="n">
        <x:f>SUM('Forecast'!BA58:BL58)</x:f>
        <x:v>119281905.39811483</x:v>
      </x:c>
      <x:c r="J17" s="2"/>
      <x:c r="K17" s="2"/>
      <x:c r="L17" s="2"/>
      <x:c r="M17" s="2"/>
      <x:c r="N17" s="2"/>
      <x:c r="O17" s="2"/>
      <x:c r="P17" s="2"/>
      <x:c r="Q17" s="2"/>
    </x:row>
    <x:row r="18" ht="23" customHeight="1">
      <x:c r="A18" s="2"/>
      <x:c r="B18" s="2"/>
      <x:c r="C18" s="118" t="str">
        <x:v>Operating margin before D&amp;A / tax</x:v>
      </x:c>
      <x:c r="D18" s="119"/>
      <x:c r="E18" s="148" t="n">
        <x:f>E17/E14</x:f>
        <x:v>-1.5895482473755471</x:v>
      </x:c>
      <x:c r="F18" s="148" t="n">
        <x:f>F17/F14</x:f>
        <x:v>-0.42724231986473166</x:v>
      </x:c>
      <x:c r="G18" s="148" t="n">
        <x:f>G17/G14</x:f>
        <x:v>-0.05087831191931002</x:v>
      </x:c>
      <x:c r="H18" s="148" t="n">
        <x:f>H17/H14</x:f>
        <x:v>0.13921028269594835</x:v>
      </x:c>
      <x:c r="I18" s="148" t="n">
        <x:f>I17/I14</x:f>
        <x:v>0.24579498967039135</x:v>
      </x:c>
      <x:c r="J18" s="2"/>
      <x:c r="K18" s="2"/>
      <x:c r="L18" s="2"/>
      <x:c r="M18" s="2"/>
      <x:c r="N18" s="2"/>
      <x:c r="O18" s="2"/>
      <x:c r="P18" s="2"/>
      <x:c r="Q18" s="2"/>
    </x:row>
    <x:row r="19" ht="23" customHeight="1">
      <x:c r="A19" s="2"/>
      <x:c r="B19" s="2"/>
      <x:c r="C19" s="106" t="str">
        <x:v>Ending software ARR (USD)</x:v>
      </x:c>
      <x:c r="D19" s="107"/>
      <x:c r="E19" s="147" t="n">
        <x:f>'Forecast'!P27</x:f>
        <x:v>36684.92900865463</x:v>
      </x:c>
      <x:c r="F19" s="147" t="n">
        <x:f>'Forecast'!AB27</x:f>
        <x:v>285272.37647457386</x:v>
      </x:c>
      <x:c r="G19" s="147" t="n">
        <x:f>'Forecast'!AN27</x:f>
        <x:v>1158188.701779368</x:v>
      </x:c>
      <x:c r="H19" s="147" t="n">
        <x:f>'Forecast'!AZ27</x:f>
        <x:v>3185813.176929766</x:v>
      </x:c>
      <x:c r="I19" s="147" t="n">
        <x:f>'Forecast'!BL27</x:f>
        <x:v>7212367.765593873</x:v>
      </x:c>
      <x:c r="J19" s="2"/>
      <x:c r="K19" s="2"/>
      <x:c r="L19" s="2"/>
      <x:c r="M19" s="2"/>
      <x:c r="N19" s="2"/>
      <x:c r="O19" s="2"/>
      <x:c r="P19" s="2"/>
      <x:c r="Q19" s="2"/>
    </x:row>
    <x:row r="20" ht="23" customHeight="1">
      <x:c r="A20" s="2"/>
      <x:c r="B20" s="2"/>
      <x:c r="C20" s="4" t="str">
        <x:v>Ending software ARR (INR)</x:v>
      </x:c>
      <x:c r="D20" s="2"/>
      <x:c r="E20" s="32" t="n">
        <x:f>'Forecast'!P26</x:f>
        <x:v>3301643.6107789166</x:v>
      </x:c>
      <x:c r="F20" s="32" t="n">
        <x:f>'Forecast'!AB26</x:f>
        <x:v>25674513.882711645</x:v>
      </x:c>
      <x:c r="G20" s="32" t="n">
        <x:f>'Forecast'!AN26</x:f>
        <x:v>104236983.16014314</x:v>
      </x:c>
      <x:c r="H20" s="32" t="n">
        <x:f>'Forecast'!AZ26</x:f>
        <x:v>286723185.92367893</x:v>
      </x:c>
      <x:c r="I20" s="32" t="n">
        <x:f>'Forecast'!BL26</x:f>
        <x:v>649113098.9034486</x:v>
      </x:c>
      <x:c r="J20" s="2"/>
      <x:c r="K20" s="2"/>
      <x:c r="L20" s="2"/>
      <x:c r="M20" s="2"/>
      <x:c r="N20" s="2"/>
      <x:c r="O20" s="2"/>
      <x:c r="P20" s="2"/>
      <x:c r="Q20" s="2"/>
    </x:row>
    <x:row r="21" ht="23" customHeight="1">
      <x:c r="A21" s="2"/>
      <x:c r="B21" s="2"/>
      <x:c r="C21" s="106" t="str">
        <x:v>Year-end cash (INR)</x:v>
      </x:c>
      <x:c r="D21" s="107"/>
      <x:c r="E21" s="145" t="n">
        <x:f>'Forecast'!P67</x:f>
        <x:v>19739182.485229887</x:v>
      </x:c>
      <x:c r="F21" s="145" t="n">
        <x:f>'Forecast'!AB67</x:f>
        <x:v>77221702.33072777</x:v>
      </x:c>
      <x:c r="G21" s="145" t="n">
        <x:f>'Forecast'!AN67</x:f>
        <x:v>73265431.42807195</x:v>
      </x:c>
      <x:c r="H21" s="145" t="n">
        <x:f>'Forecast'!AZ67</x:f>
        <x:v>101692983.68645266</x:v>
      </x:c>
      <x:c r="I21" s="145" t="n">
        <x:f>'Forecast'!BL67</x:f>
        <x:v>220674889.0845675</x:v>
      </x:c>
      <x:c r="J21" s="2"/>
      <x:c r="K21" s="2"/>
      <x:c r="L21" s="2"/>
      <x:c r="M21" s="2"/>
      <x:c r="N21" s="2"/>
      <x:c r="O21" s="2"/>
      <x:c r="P21" s="2"/>
      <x:c r="Q21" s="2"/>
    </x:row>
    <x:row r="22" ht="23" customHeight="1">
      <x:c r="A22" s="2"/>
      <x:c r="B22" s="2"/>
      <x:c r="C22" s="4" t="str">
        <x:v>Gross financing raised in year (INR)</x:v>
      </x:c>
      <x:c r="D22" s="2"/>
      <x:c r="E22" s="32" t="n">
        <x:f>SUM('Forecast'!E64:P64)</x:f>
        <x:v>22500000</x:v>
      </x:c>
      <x:c r="F22" s="32" t="n">
        <x:f>SUM('Forecast'!Q64:AB64)</x:f>
        <x:v>67500000</x:v>
      </x:c>
      <x:c r="G22" s="32" t="n">
        <x:f>SUM('Forecast'!AC64:AN64)</x:f>
        <x:v>0</x:v>
      </x:c>
      <x:c r="H22" s="32" t="n">
        <x:f>SUM('Forecast'!AO64:AZ64)</x:f>
        <x:v>0</x:v>
      </x:c>
      <x:c r="I22" s="32" t="n">
        <x:f>SUM('Forecast'!BA64:BL64)</x:f>
        <x:v>0</x:v>
      </x:c>
      <x:c r="J22" s="2"/>
      <x:c r="K22" s="2"/>
      <x:c r="L22" s="2"/>
      <x:c r="M22" s="2"/>
      <x:c r="N22" s="2"/>
      <x:c r="O22" s="2"/>
      <x:c r="P22" s="2"/>
      <x:c r="Q22" s="2"/>
    </x:row>
    <x:row r="23" ht="23" customHeight="1">
      <x:c r="A23" s="2"/>
      <x:c r="B23" s="2"/>
      <x:c r="C23" s="4" t="str">
        <x:v>Lowest month-end cash in year (INR)</x:v>
      </x:c>
      <x:c r="D23" s="2"/>
      <x:c r="E23" s="32" t="n">
        <x:f>MIN('Forecast'!E67:P67)</x:f>
        <x:v>1004706.8137201327</x:v>
      </x:c>
      <x:c r="F23" s="32" t="n">
        <x:f>MIN('Forecast'!Q67:AB67)</x:f>
        <x:v>12574121.102887984</x:v>
      </x:c>
      <x:c r="G23" s="32" t="n">
        <x:f>MIN('Forecast'!AC67:AN67)</x:f>
        <x:v>66424323.98233729</x:v>
      </x:c>
      <x:c r="H23" s="32" t="n">
        <x:f>MIN('Forecast'!AO67:AZ67)</x:f>
        <x:v>64720875.78995906</x:v>
      </x:c>
      <x:c r="I23" s="32" t="n">
        <x:f>MIN('Forecast'!BA67:BL67)</x:f>
        <x:v>99097843.48871581</x:v>
      </x:c>
      <x:c r="J23" s="2"/>
      <x:c r="K23" s="2"/>
      <x:c r="L23" s="2"/>
      <x:c r="M23" s="2"/>
      <x:c r="N23" s="2"/>
      <x:c r="O23" s="2"/>
      <x:c r="P23" s="2"/>
      <x:c r="Q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3" customHeight="1">
      <x:c r="A25" s="2"/>
      <x:c r="B25" s="2"/>
      <x:c r="C25" s="118" t="str">
        <x:v>India marginal CAC payback (mo)</x:v>
      </x:c>
      <x:c r="D25" s="119"/>
      <x:c r="E25" s="149" t="n">
        <x:f>'Forecast'!P74</x:f>
        <x:v>3.9672918824799983</x:v>
      </x:c>
      <x:c r="F25" s="149" t="n">
        <x:f>'Forecast'!AB74</x:f>
        <x:v>4.03969256903731</x:v>
      </x:c>
      <x:c r="G25" s="149" t="n">
        <x:f>'Forecast'!AN74</x:f>
        <x:v>4.223567506687315</x:v>
      </x:c>
      <x:c r="H25" s="149" t="n">
        <x:f>'Forecast'!AZ74</x:f>
        <x:v>4.690156533974322</x:v>
      </x:c>
      <x:c r="I25" s="149" t="n">
        <x:f>'Forecast'!BL74</x:f>
        <x:v>5.131031337298797</x:v>
      </x:c>
      <x:c r="J25" s="2"/>
      <x:c r="K25" s="2"/>
      <x:c r="L25" s="2"/>
      <x:c r="M25" s="2"/>
      <x:c r="N25" s="2"/>
      <x:c r="O25" s="2"/>
      <x:c r="P25" s="2"/>
      <x:c r="Q25" s="2"/>
    </x:row>
    <x:row r="26" ht="23" customHeight="1">
      <x:c r="A26" s="2"/>
      <x:c r="B26" s="2"/>
      <x:c r="C26" s="118" t="str">
        <x:v>UAE marginal CAC payback (mo)</x:v>
      </x:c>
      <x:c r="D26" s="119"/>
      <x:c r="E26" s="149" t="n">
        <x:f>'Forecast'!P75</x:f>
        <x:v>3.8603236850772444</x:v>
      </x:c>
      <x:c r="F26" s="149" t="n">
        <x:f>'Forecast'!AB75</x:f>
        <x:v>3.975733301920132</x:v>
      </x:c>
      <x:c r="G26" s="149" t="n">
        <x:f>'Forecast'!AN75</x:f>
        <x:v>4.082529467215729</x:v>
      </x:c>
      <x:c r="H26" s="149" t="n">
        <x:f>'Forecast'!AZ75</x:f>
        <x:v>4.427620700493325</x:v>
      </x:c>
      <x:c r="I26" s="149" t="n">
        <x:f>'Forecast'!BL75</x:f>
        <x:v>4.748745210033043</x:v>
      </x:c>
      <x:c r="J26" s="2"/>
      <x:c r="K26" s="2"/>
      <x:c r="L26" s="2"/>
      <x:c r="M26" s="2"/>
      <x:c r="N26" s="2"/>
      <x:c r="O26" s="2"/>
      <x:c r="P26" s="2"/>
      <x:c r="Q26" s="2"/>
    </x:row>
    <x:row r="27" ht="23" customHeight="1">
      <x:c r="A27" s="2"/>
      <x:c r="B27" s="2"/>
      <x:c r="C27" s="118" t="str">
        <x:v>India annual logo retention</x:v>
      </x:c>
      <x:c r="D27" s="119"/>
      <x:c r="E27" s="148" t="n">
        <x:f>'Forecast'!P76</x:f>
        <x:v>0.9081133618083123</x:v>
      </x:c>
      <x:c r="F27" s="148" t="n">
        <x:f>'Forecast'!AB76</x:f>
        <x:v>0.9081133618083123</x:v>
      </x:c>
      <x:c r="G27" s="148" t="n">
        <x:f>'Forecast'!AN76</x:f>
        <x:v>0.9081133618083123</x:v>
      </x:c>
      <x:c r="H27" s="148" t="n">
        <x:f>'Forecast'!AZ76</x:f>
        <x:v>0.9081133618083123</x:v>
      </x:c>
      <x:c r="I27" s="148" t="n">
        <x:f>'Forecast'!BL76</x:f>
        <x:v>0.9081133618083123</x:v>
      </x:c>
      <x:c r="J27" s="2"/>
      <x:c r="K27" s="2"/>
      <x:c r="L27" s="2"/>
      <x:c r="M27" s="2"/>
      <x:c r="N27" s="2"/>
      <x:c r="O27" s="2"/>
      <x:c r="P27" s="2"/>
      <x:c r="Q27" s="2"/>
    </x:row>
    <x:row r="28" ht="23" customHeight="1">
      <x:c r="A28" s="2"/>
      <x:c r="B28" s="2"/>
      <x:c r="C28" s="118" t="str">
        <x:v>UAE annual logo retention</x:v>
      </x:c>
      <x:c r="D28" s="119"/>
      <x:c r="E28" s="148" t="n">
        <x:f>'Forecast'!P77</x:f>
        <x:v>0.9191597152919142</x:v>
      </x:c>
      <x:c r="F28" s="148" t="n">
        <x:f>'Forecast'!AB77</x:f>
        <x:v>0.9191597152919142</x:v>
      </x:c>
      <x:c r="G28" s="148" t="n">
        <x:f>'Forecast'!AN77</x:f>
        <x:v>0.9191597152919142</x:v>
      </x:c>
      <x:c r="H28" s="148" t="n">
        <x:f>'Forecast'!AZ77</x:f>
        <x:v>0.9191597152919142</x:v>
      </x:c>
      <x:c r="I28" s="148" t="n">
        <x:f>'Forecast'!BL77</x:f>
        <x:v>0.9191597152919142</x:v>
      </x:c>
      <x:c r="J28" s="2"/>
      <x:c r="K28" s="2"/>
      <x:c r="L28" s="2"/>
      <x:c r="M28" s="2"/>
      <x:c r="N28" s="2"/>
      <x:c r="O28" s="2"/>
      <x:c r="P28" s="2"/>
      <x:c r="Q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7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50" t="str">
        <x:v>Year</x:v>
      </x:c>
      <x:c r="M32" s="50" t="str">
        <x:v>Revenue INR</x:v>
      </x:c>
      <x:c r="N32" s="50" t="str">
        <x:v>Operating profit INR</x:v>
      </x:c>
      <x:c r="O32" s="2"/>
      <x:c r="P32" s="2"/>
      <x:c r="Q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4" t="str">
        <x:v>Y1</x:v>
      </x:c>
      <x:c r="M33" s="67" t="n">
        <x:f>E14</x:f>
        <x:v>3010803.555457867</x:v>
      </x:c>
      <x:c r="N33" s="67" t="n">
        <x:f>E17</x:f>
        <x:v>-4785817.5147701185</x:v>
      </x:c>
      <x:c r="O33" s="2"/>
      <x:c r="P33" s="2"/>
      <x:c r="Q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4" t="str">
        <x:v>Y2</x:v>
      </x:c>
      <x:c r="M34" s="67" t="n">
        <x:f>F14</x:f>
        <x:v>18004958.303141933</x:v>
      </x:c>
      <x:c r="N34" s="67" t="n">
        <x:f>F17</x:f>
        <x:v>-7692480.154502122</x:v>
      </x:c>
      <x:c r="O34" s="2"/>
      <x:c r="P34" s="2"/>
      <x:c r="Q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4" t="str">
        <x:v>Y3</x:v>
      </x:c>
      <x:c r="M35" s="67" t="n">
        <x:f>G14</x:f>
        <x:v>71863054.5064948</x:v>
      </x:c>
      <x:c r="N35" s="67" t="n">
        <x:f>G17</x:f>
        <x:v>-3656270.9026558204</x:v>
      </x:c>
      <x:c r="O35" s="2"/>
      <x:c r="P35" s="2"/>
      <x:c r="Q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4" t="str">
        <x:v>Y4</x:v>
      </x:c>
      <x:c r="M36" s="67" t="n">
        <x:f>H14</x:f>
        <x:v>206360849.94615722</x:v>
      </x:c>
      <x:c r="N36" s="67" t="n">
        <x:f>H17</x:f>
        <x:v>28727552.258380722</x:v>
      </x:c>
      <x:c r="O36" s="2"/>
      <x:c r="P36" s="2"/>
      <x:c r="Q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4" t="str">
        <x:v>Y5</x:v>
      </x:c>
      <x:c r="M37" s="67" t="n">
        <x:f>I14</x:f>
        <x:v>485290223.19808346</x:v>
      </x:c>
      <x:c r="N37" s="67" t="n">
        <x:f>I17</x:f>
        <x:v>119281905.39811483</x:v>
      </x:c>
      <x:c r="O37" s="2"/>
      <x:c r="P37" s="2"/>
      <x:c r="Q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3" customHeight="1">
      <x:c r="A48" s="2"/>
      <x:c r="B48" s="2"/>
      <x:c r="C48" s="4" t="str">
        <x:v>Cash assumes monthly collections; annual prepayments, tax and working capital are excluded.</x:v>
      </x:c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3" customHeight="1">
      <x:c r="A49" s="2"/>
      <x:c r="B49" s="2"/>
      <x:c r="C49" s="4" t="str">
        <x:v>ARR includes paid software only. GMV, tax, setup and custom projects are excluded.</x:v>
      </x:c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3" customHeight="1">
      <x:c r="A50" s="2"/>
      <x:c r="B50" s="2"/>
      <x:c r="C50" s="4" t="str">
        <x:v>Payback is marginal: it excludes fixed hosting, central costs and onboarding labor.</x:v>
      </x:c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3" customHeight="1">
      <x:c r="A51" s="2"/>
      <x:c r="B51" s="2"/>
      <x:c r="C51" s="4" t="str">
        <x:v>Funding dates are editable cash assumptions. Series A/B/C are disabled in the forecast.</x:v>
      </x:c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3" customHeight="1">
      <x:c r="A52" s="2"/>
      <x:c r="B52" s="2"/>
      <x:c r="C52" s="4" t="str">
        <x:v>Downside keeps the same central hiring plan so you can see when spending must change.</x:v>
      </x:c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3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3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3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3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3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3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3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3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3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3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3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3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3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3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3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3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3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3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3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3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3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3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3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</x:sheetData>
  <x:conditionalFormatting sqref="E21:I23">
    <x:cfRule type="cellIs" dxfId="20" priority="1" operator="lessThan">
      <x:formula>0</x:formula>
    </x:cfRule>
  </x:conditionalFormatting>
  <x:pageMargins left="0.7" right="0.7" top="0.75" bottom="0.75" header="0.3" footer="0.3"/>
  <x:drawing xmlns:r="http://schemas.openxmlformats.org/officeDocument/2006/relationships" r:id="R8696236d65eb4648"/>
</x:worksheet>
</file>

<file path=xl/worksheets/sheet2.xml><?xml version="1.0" encoding="utf-8"?>
<x:worksheet xmlns:x="http://schemas.openxmlformats.org/spreadsheetml/2006/main">
  <x:sheetPr>
    <x:tabColor rgb="FF3E6483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3" hidden="0" customWidth="1"/>
    <x:col min="11" max="11" width="64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3" customHeight="1">
      <x:c r="A2" s="2"/>
      <x:c r="B2" s="2"/>
      <x:c r="C2" s="12" t="str">
        <x:v>2UP assumptions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23" customHeight="1">
      <x:c r="A4" s="2"/>
      <x:c r="B4" s="2"/>
      <x:c r="C4" s="4" t="str">
        <x:v>Case selected:</x:v>
      </x:c>
      <x:c r="D4" s="15" t="n">
        <x:v>1</x:v>
      </x:c>
      <x:c r="E4" s="2"/>
      <x:c r="F4" s="4" t="str">
        <x:v>1 = Base; 2 = Downside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3" customHeight="1">
      <x:c r="A5" s="2"/>
      <x:c r="B5" s="2"/>
      <x:c r="C5" s="20" t="str">
        <x:v>Global inputs</x:v>
      </x:c>
      <x:c r="D5" s="21"/>
      <x:c r="E5" s="21"/>
      <x:c r="F5" s="21"/>
      <x:c r="G5" s="21"/>
      <x:c r="H5" s="21"/>
      <x:c r="I5" s="21"/>
      <x:c r="J5" s="2"/>
      <x:c r="K5" s="2"/>
      <x:c r="L5" s="2"/>
      <x:c r="M5" s="2"/>
      <x:c r="N5" s="2"/>
      <x:c r="O5" s="2"/>
      <x:c r="P5" s="2"/>
      <x:c r="Q5" s="2"/>
    </x:row>
    <x:row r="6" ht="23" customHeight="1">
      <x:c r="A6" s="2"/>
      <x:c r="B6" s="2"/>
      <x:c r="C6" s="4" t="str">
        <x:v>Forecast start</x:v>
      </x:c>
      <x:c r="D6" s="24" t="d">
        <x:v>2026-11-01T00:00:00.000Z</x:v>
      </x:c>
      <x:c r="E6" s="2"/>
      <x:c r="F6" s="2"/>
      <x:c r="G6" s="2"/>
      <x:c r="H6" s="2"/>
      <x:c r="I6" s="2"/>
      <x:c r="J6" s="2"/>
      <x:c r="K6" s="25" t="str">
        <x:v>Illustrative first operating month.</x:v>
      </x:c>
      <x:c r="L6" s="2"/>
      <x:c r="M6" s="2"/>
      <x:c r="N6" s="2"/>
      <x:c r="O6" s="2"/>
      <x:c r="P6" s="2"/>
      <x:c r="Q6" s="2"/>
    </x:row>
    <x:row r="7" ht="23" customHeight="1">
      <x:c r="A7" s="2"/>
      <x:c r="B7" s="2"/>
      <x:c r="C7" s="4" t="str">
        <x:v>INR per USD</x:v>
      </x:c>
      <x:c r="D7" s="28" t="n">
        <x:v>90</x:v>
      </x:c>
      <x:c r="E7" s="2"/>
      <x:c r="F7" s="2"/>
      <x:c r="G7" s="2"/>
      <x:c r="H7" s="2"/>
      <x:c r="I7" s="2"/>
      <x:c r="J7" s="2"/>
      <x:c r="K7" s="25" t="str">
        <x:v>Planning FX, not a live exchange quote.</x:v>
      </x:c>
      <x:c r="L7" s="2"/>
      <x:c r="M7" s="2"/>
      <x:c r="N7" s="2"/>
      <x:c r="O7" s="2"/>
      <x:c r="P7" s="2"/>
      <x:c r="Q7" s="2"/>
    </x:row>
    <x:row r="8" ht="23" customHeight="1">
      <x:c r="A8" s="2"/>
      <x:c r="B8" s="2"/>
      <x:c r="C8" s="4" t="str">
        <x:v>AED per USD</x:v>
      </x:c>
      <x:c r="D8" s="31" t="n">
        <x:v>3.6725</x:v>
      </x:c>
      <x:c r="E8" s="2"/>
      <x:c r="F8" s="2"/>
      <x:c r="G8" s="2"/>
      <x:c r="H8" s="2"/>
      <x:c r="I8" s="2"/>
      <x:c r="J8" s="2"/>
      <x:c r="K8" s="25" t="str">
        <x:v>Planning conversion. Check when raising.</x:v>
      </x:c>
      <x:c r="L8" s="2"/>
      <x:c r="M8" s="2"/>
      <x:c r="N8" s="2"/>
      <x:c r="O8" s="2"/>
      <x:c r="P8" s="2"/>
      <x:c r="Q8" s="2"/>
    </x:row>
    <x:row r="9" ht="23" customHeight="1">
      <x:c r="A9" s="2"/>
      <x:c r="B9" s="2"/>
      <x:c r="C9" s="4" t="str">
        <x:v>Opening company cash (INR)</x:v>
      </x:c>
      <x:c r="D9" s="34" t="n">
        <x:v>3000000</x:v>
      </x:c>
      <x:c r="E9" s="2"/>
      <x:c r="F9" s="2"/>
      <x:c r="G9" s="2"/>
      <x:c r="H9" s="2"/>
      <x:c r="I9" s="2"/>
      <x:c r="J9" s="2"/>
      <x:c r="K9" s="25" t="str">
        <x:v>Assumed available cash; replace with bank balance.</x:v>
      </x:c>
      <x:c r="L9" s="2"/>
      <x:c r="M9" s="2"/>
      <x:c r="N9" s="2"/>
      <x:c r="O9" s="2"/>
      <x:c r="P9" s="2"/>
      <x:c r="Q9" s="2"/>
    </x:row>
    <x:row r="10" ht="23" customHeight="1">
      <x:c r="A10" s="2"/>
      <x:c r="B10" s="2"/>
      <x:c r="C10" s="4" t="str">
        <x:v>Opening paid outlets, India</x:v>
      </x:c>
      <x:c r="D10" s="37" t="n">
        <x:v>0</x:v>
      </x:c>
      <x:c r="E10" s="2"/>
      <x:c r="F10" s="2"/>
      <x:c r="G10" s="2"/>
      <x:c r="H10" s="2"/>
      <x:c r="I10" s="2"/>
      <x:c r="J10" s="2"/>
      <x:c r="K10" s="25" t="str">
        <x:v>Assumed pre-launch; replace with paid live outlets.</x:v>
      </x:c>
      <x:c r="L10" s="2"/>
      <x:c r="M10" s="2"/>
      <x:c r="N10" s="2"/>
      <x:c r="O10" s="2"/>
      <x:c r="P10" s="2"/>
      <x:c r="Q10" s="2"/>
    </x:row>
    <x:row r="11" ht="23" customHeight="1">
      <x:c r="A11" s="2"/>
      <x:c r="B11" s="2"/>
      <x:c r="C11" s="4" t="str">
        <x:v>Opening paid outlets, UAE</x:v>
      </x:c>
      <x:c r="D11" s="37" t="n">
        <x:v>0</x:v>
      </x:c>
      <x:c r="E11" s="2"/>
      <x:c r="F11" s="2"/>
      <x:c r="G11" s="2"/>
      <x:c r="H11" s="2"/>
      <x:c r="I11" s="2"/>
      <x:c r="J11" s="2"/>
      <x:c r="K11" s="25" t="str">
        <x:v>Assumed pre-launch; replace with paid live outlets.</x:v>
      </x:c>
      <x:c r="L11" s="2"/>
      <x:c r="M11" s="2"/>
      <x:c r="N11" s="2"/>
      <x:c r="O11" s="2"/>
      <x:c r="P11" s="2"/>
      <x:c r="Q11" s="2"/>
    </x:row>
    <x:row r="12" ht="23" customHeight="1">
      <x:c r="A12" s="2"/>
      <x:c r="B12" s="2"/>
      <x:c r="C12" s="4" t="str">
        <x:v>India Core monthly (INR)</x:v>
      </x:c>
      <x:c r="D12" s="37" t="n">
        <x:v>1499</x:v>
      </x:c>
      <x:c r="E12" s="2"/>
      <x:c r="F12" s="2"/>
      <x:c r="G12" s="2"/>
      <x:c r="H12" s="2"/>
      <x:c r="I12" s="2"/>
      <x:c r="J12" s="2"/>
      <x:c r="K12" s="25" t="str">
        <x:v>Proposed price before tax.</x:v>
      </x:c>
      <x:c r="L12" s="2"/>
      <x:c r="M12" s="2"/>
      <x:c r="N12" s="2"/>
      <x:c r="O12" s="2"/>
      <x:c r="P12" s="2"/>
      <x:c r="Q12" s="2"/>
    </x:row>
    <x:row r="13" ht="23" customHeight="1">
      <x:c r="A13" s="2"/>
      <x:c r="B13" s="2"/>
      <x:c r="C13" s="4" t="str">
        <x:v>India Growth monthly (INR)</x:v>
      </x:c>
      <x:c r="D13" s="37" t="n">
        <x:v>2499</x:v>
      </x:c>
      <x:c r="E13" s="2"/>
      <x:c r="F13" s="2"/>
      <x:c r="G13" s="2"/>
      <x:c r="H13" s="2"/>
      <x:c r="I13" s="2"/>
      <x:c r="J13" s="2"/>
      <x:c r="K13" s="25" t="str">
        <x:v>Proposed price before tax.</x:v>
      </x:c>
      <x:c r="L13" s="2"/>
      <x:c r="M13" s="2"/>
      <x:c r="N13" s="2"/>
      <x:c r="O13" s="2"/>
      <x:c r="P13" s="2"/>
      <x:c r="Q13" s="2"/>
    </x:row>
    <x:row r="14" ht="23" customHeight="1">
      <x:c r="A14" s="2"/>
      <x:c r="B14" s="2"/>
      <x:c r="C14" s="4" t="str">
        <x:v>UAE Core monthly (AED)</x:v>
      </x:c>
      <x:c r="D14" s="37" t="n">
        <x:v>149</x:v>
      </x:c>
      <x:c r="E14" s="2"/>
      <x:c r="F14" s="2"/>
      <x:c r="G14" s="2"/>
      <x:c r="H14" s="2"/>
      <x:c r="I14" s="2"/>
      <x:c r="J14" s="2"/>
      <x:c r="K14" s="25" t="str">
        <x:v>Proposed price before tax.</x:v>
      </x:c>
      <x:c r="L14" s="2"/>
      <x:c r="M14" s="2"/>
      <x:c r="N14" s="2"/>
      <x:c r="O14" s="2"/>
      <x:c r="P14" s="2"/>
      <x:c r="Q14" s="2"/>
    </x:row>
    <x:row r="15" ht="23" customHeight="1">
      <x:c r="A15" s="2"/>
      <x:c r="B15" s="2"/>
      <x:c r="C15" s="4" t="str">
        <x:v>UAE Growth monthly (AED)</x:v>
      </x:c>
      <x:c r="D15" s="37" t="n">
        <x:v>299</x:v>
      </x:c>
      <x:c r="E15" s="2"/>
      <x:c r="F15" s="2"/>
      <x:c r="G15" s="2"/>
      <x:c r="H15" s="2"/>
      <x:c r="I15" s="2"/>
      <x:c r="J15" s="2"/>
      <x:c r="K15" s="25" t="str">
        <x:v>Proposed price before tax.</x:v>
      </x:c>
      <x:c r="L15" s="2"/>
      <x:c r="M15" s="2"/>
      <x:c r="N15" s="2"/>
      <x:c r="O15" s="2"/>
      <x:c r="P15" s="2"/>
      <x:c r="Q15" s="2"/>
    </x:row>
    <x:row r="16" ht="23" customHeight="1">
      <x:c r="A16" s="2"/>
      <x:c r="B16" s="2"/>
      <x:c r="C16" s="4" t="str">
        <x:v>India annual-plan share</x:v>
      </x:c>
      <x:c r="D16" s="40" t="n">
        <x:v>0.4</x:v>
      </x:c>
      <x:c r="E16" s="2"/>
      <x:c r="F16" s="2"/>
      <x:c r="G16" s="2"/>
      <x:c r="H16" s="2"/>
      <x:c r="I16" s="2"/>
      <x:c r="J16" s="2"/>
      <x:c r="K16" s="25" t="str">
        <x:v>Annual revenue recognized over 12 months.</x:v>
      </x:c>
      <x:c r="L16" s="2"/>
      <x:c r="M16" s="2"/>
      <x:c r="N16" s="2"/>
      <x:c r="O16" s="2"/>
      <x:c r="P16" s="2"/>
      <x:c r="Q16" s="2"/>
    </x:row>
    <x:row r="17" ht="23" customHeight="1">
      <x:c r="A17" s="2"/>
      <x:c r="B17" s="2"/>
      <x:c r="C17" s="4" t="str">
        <x:v>UAE annual-plan share</x:v>
      </x:c>
      <x:c r="D17" s="40" t="n">
        <x:v>0.3</x:v>
      </x:c>
      <x:c r="E17" s="2"/>
      <x:c r="F17" s="2"/>
      <x:c r="G17" s="2"/>
      <x:c r="H17" s="2"/>
      <x:c r="I17" s="2"/>
      <x:c r="J17" s="2"/>
      <x:c r="K17" s="25" t="str">
        <x:v>Annual prepayment cash advantage excluded.</x:v>
      </x:c>
      <x:c r="L17" s="2"/>
      <x:c r="M17" s="2"/>
      <x:c r="N17" s="2"/>
      <x:c r="O17" s="2"/>
      <x:c r="P17" s="2"/>
      <x:c r="Q17" s="2"/>
    </x:row>
    <x:row r="18" ht="23" customHeight="1">
      <x:c r="A18" s="2"/>
      <x:c r="B18" s="2"/>
      <x:c r="C18" s="4" t="str">
        <x:v>Annual plan paid months</x:v>
      </x:c>
      <x:c r="D18" s="43" t="n">
        <x:v>11</x:v>
      </x:c>
      <x:c r="E18" s="2"/>
      <x:c r="F18" s="2"/>
      <x:c r="G18" s="2"/>
      <x:c r="H18" s="2"/>
      <x:c r="I18" s="2"/>
      <x:c r="J18" s="2"/>
      <x:c r="K18" s="25" t="str">
        <x:v>One free month; introductory offers excluded from ARR.</x:v>
      </x:c>
      <x:c r="L18" s="2"/>
      <x:c r="M18" s="2"/>
      <x:c r="N18" s="2"/>
      <x:c r="O18" s="2"/>
      <x:c r="P18" s="2"/>
      <x:c r="Q18" s="2"/>
    </x:row>
    <x:row r="19" ht="23" customHeight="1">
      <x:c r="A19" s="2"/>
      <x:c r="B19" s="2"/>
      <x:c r="C19" s="4" t="str">
        <x:v>Months per year</x:v>
      </x:c>
      <x:c r="D19" s="43" t="n">
        <x:v>12</x:v>
      </x:c>
      <x:c r="E19" s="2"/>
      <x:c r="F19" s="2"/>
      <x:c r="G19" s="2"/>
      <x:c r="H19" s="2"/>
      <x:c r="I19" s="2"/>
      <x:c r="J19" s="2"/>
      <x:c r="K19" s="25" t="str">
        <x:v>Calendar months.</x:v>
      </x:c>
      <x:c r="L19" s="2"/>
      <x:c r="M19" s="2"/>
      <x:c r="N19" s="2"/>
      <x:c r="O19" s="2"/>
      <x:c r="P19" s="2"/>
      <x:c r="Q19" s="2"/>
    </x:row>
    <x:row r="20" ht="23" customHeight="1">
      <x:c r="A20" s="2"/>
      <x:c r="B20" s="2"/>
      <x:c r="C20" s="4" t="str">
        <x:v>Technology / India outlet (INR/mo)</x:v>
      </x:c>
      <x:c r="D20" s="37" t="n">
        <x:v>110</x:v>
      </x:c>
      <x:c r="E20" s="2"/>
      <x:c r="F20" s="2"/>
      <x:c r="G20" s="2"/>
      <x:c r="H20" s="2"/>
      <x:c r="I20" s="2"/>
      <x:c r="J20" s="2"/>
      <x:c r="K20" s="25" t="str">
        <x:v>Variable software COGS, not a vendor quote.</x:v>
      </x:c>
      <x:c r="L20" s="2"/>
      <x:c r="M20" s="2"/>
      <x:c r="N20" s="2"/>
      <x:c r="O20" s="2"/>
      <x:c r="P20" s="2"/>
      <x:c r="Q20" s="2"/>
    </x:row>
    <x:row r="21" ht="23" customHeight="1">
      <x:c r="A21" s="2"/>
      <x:c r="B21" s="2"/>
      <x:c r="C21" s="4" t="str">
        <x:v>Technology / UAE outlet (INR/mo)</x:v>
      </x:c>
      <x:c r="D21" s="37" t="n">
        <x:v>300</x:v>
      </x:c>
      <x:c r="E21" s="2"/>
      <x:c r="F21" s="2"/>
      <x:c r="G21" s="2"/>
      <x:c r="H21" s="2"/>
      <x:c r="I21" s="2"/>
      <x:c r="J21" s="2"/>
      <x:c r="K21" s="25" t="str">
        <x:v>Also in INR; separate hosting below.</x:v>
      </x:c>
      <x:c r="L21" s="2"/>
      <x:c r="M21" s="2"/>
      <x:c r="N21" s="2"/>
      <x:c r="O21" s="2"/>
      <x:c r="P21" s="2"/>
      <x:c r="Q21" s="2"/>
    </x:row>
    <x:row r="22" ht="23" customHeight="1">
      <x:c r="A22" s="2"/>
      <x:c r="B22" s="2"/>
      <x:c r="C22" s="4" t="str">
        <x:v>India support minutes / outlet / mo</x:v>
      </x:c>
      <x:c r="D22" s="46" t="n">
        <x:v>20</x:v>
      </x:c>
      <x:c r="E22" s="2"/>
      <x:c r="F22" s="2"/>
      <x:c r="G22" s="2"/>
      <x:c r="H22" s="2"/>
      <x:c r="I22" s="2"/>
      <x:c r="J22" s="2"/>
      <x:c r="K22" s="25" t="str">
        <x:v>Delivery staff allocated directly to COGS.</x:v>
      </x:c>
      <x:c r="L22" s="2"/>
      <x:c r="M22" s="2"/>
      <x:c r="N22" s="2"/>
      <x:c r="O22" s="2"/>
      <x:c r="P22" s="2"/>
      <x:c r="Q22" s="2"/>
    </x:row>
    <x:row r="23" ht="23" customHeight="1">
      <x:c r="A23" s="2"/>
      <x:c r="B23" s="2"/>
      <x:c r="C23" s="4" t="str">
        <x:v>India support loaded INR / hour</x:v>
      </x:c>
      <x:c r="D23" s="37" t="n">
        <x:v>350</x:v>
      </x:c>
      <x:c r="E23" s="2"/>
      <x:c r="F23" s="2"/>
      <x:c r="G23" s="2"/>
      <x:c r="H23" s="2"/>
      <x:c r="I23" s="2"/>
      <x:c r="J23" s="2"/>
      <x:c r="K23" s="25" t="str">
        <x:v>Salary, benefits and contractor allocation.</x:v>
      </x:c>
      <x:c r="L23" s="2"/>
      <x:c r="M23" s="2"/>
      <x:c r="N23" s="2"/>
      <x:c r="O23" s="2"/>
      <x:c r="P23" s="2"/>
      <x:c r="Q23" s="2"/>
    </x:row>
    <x:row r="24" ht="23" customHeight="1">
      <x:c r="A24" s="2"/>
      <x:c r="B24" s="2"/>
      <x:c r="C24" s="4" t="str">
        <x:v>UAE support minutes / outlet / mo</x:v>
      </x:c>
      <x:c r="D24" s="46" t="n">
        <x:v>25</x:v>
      </x:c>
      <x:c r="E24" s="2"/>
      <x:c r="F24" s="2"/>
      <x:c r="G24" s="2"/>
      <x:c r="H24" s="2"/>
      <x:c r="I24" s="2"/>
      <x:c r="J24" s="2"/>
      <x:c r="K24" s="25" t="str">
        <x:v>Support capacity, not product engineering.</x:v>
      </x:c>
      <x:c r="L24" s="2"/>
      <x:c r="M24" s="2"/>
      <x:c r="N24" s="2"/>
      <x:c r="O24" s="2"/>
      <x:c r="P24" s="2"/>
      <x:c r="Q24" s="2"/>
    </x:row>
    <x:row r="25" ht="23" customHeight="1">
      <x:c r="A25" s="2"/>
      <x:c r="B25" s="2"/>
      <x:c r="C25" s="4" t="str">
        <x:v>UAE support loaded INR / hour</x:v>
      </x:c>
      <x:c r="D25" s="37" t="n">
        <x:v>600</x:v>
      </x:c>
      <x:c r="E25" s="2"/>
      <x:c r="F25" s="2"/>
      <x:c r="G25" s="2"/>
      <x:c r="H25" s="2"/>
      <x:c r="I25" s="2"/>
      <x:c r="J25" s="2"/>
      <x:c r="K25" s="25" t="str">
        <x:v>INR cost even for UAE support.</x:v>
      </x:c>
      <x:c r="L25" s="2"/>
      <x:c r="M25" s="2"/>
      <x:c r="N25" s="2"/>
      <x:c r="O25" s="2"/>
      <x:c r="P25" s="2"/>
      <x:c r="Q25" s="2"/>
    </x:row>
    <x:row r="26" ht="23" customHeight="1">
      <x:c r="A26" s="2"/>
      <x:c r="B26" s="2"/>
      <x:c r="C26" s="4" t="str">
        <x:v>India onboarding cost / new outlet</x:v>
      </x:c>
      <x:c r="D26" s="37" t="n">
        <x:v>700</x:v>
      </x:c>
      <x:c r="E26" s="2"/>
      <x:c r="F26" s="2"/>
      <x:c r="G26" s="2"/>
      <x:c r="H26" s="2"/>
      <x:c r="I26" s="2"/>
      <x:c r="J26" s="2"/>
      <x:c r="K26" s="25" t="str">
        <x:v>Incremental delivery labor, in INR.</x:v>
      </x:c>
      <x:c r="L26" s="2"/>
      <x:c r="M26" s="2"/>
      <x:c r="N26" s="2"/>
      <x:c r="O26" s="2"/>
      <x:c r="P26" s="2"/>
      <x:c r="Q26" s="2"/>
    </x:row>
    <x:row r="27" ht="23" customHeight="1">
      <x:c r="A27" s="2"/>
      <x:c r="B27" s="2"/>
      <x:c r="C27" s="4" t="str">
        <x:v>UAE onboarding cost / new outlet</x:v>
      </x:c>
      <x:c r="D27" s="37" t="n">
        <x:v>1800</x:v>
      </x:c>
      <x:c r="E27" s="2"/>
      <x:c r="F27" s="2"/>
      <x:c r="G27" s="2"/>
      <x:c r="H27" s="2"/>
      <x:c r="I27" s="2"/>
      <x:c r="J27" s="2"/>
      <x:c r="K27" s="25" t="str">
        <x:v>Incremental delivery labor, in INR.</x:v>
      </x:c>
      <x:c r="L27" s="2"/>
      <x:c r="M27" s="2"/>
      <x:c r="N27" s="2"/>
      <x:c r="O27" s="2"/>
      <x:c r="P27" s="2"/>
      <x:c r="Q27" s="2"/>
    </x:row>
    <x:row r="28" ht="23" customHeight="1">
      <x:c r="A28" s="2"/>
      <x:c r="B28" s="2"/>
      <x:c r="C28" s="4" t="str">
        <x:v>Launch marketing cash budget (INR)</x:v>
      </x:c>
      <x:c r="D28" s="37" t="n">
        <x:v>300000</x:v>
      </x:c>
      <x:c r="E28" s="2"/>
      <x:c r="F28" s="2"/>
      <x:c r="G28" s="2"/>
      <x:c r="H28" s="2"/>
      <x:c r="I28" s="2"/>
      <x:c r="J28" s="2"/>
      <x:c r="K28" s="25" t="str">
        <x:v>Month 1 spending. Introductory credits are excluded.</x:v>
      </x:c>
      <x:c r="L28" s="2"/>
      <x:c r="M28" s="2"/>
      <x:c r="N28" s="2"/>
      <x:c r="O28" s="2"/>
      <x:c r="P28" s="2"/>
      <x:c r="Q28" s="2"/>
    </x:row>
    <x:row r="29" ht="23" customHeight="1">
      <x:c r="A29" s="2"/>
      <x:c r="B29" s="2"/>
      <x:c r="C29" s="4" t="str">
        <x:v>Capex at start of each year (INR)</x:v>
      </x:c>
      <x:c r="D29" s="37" t="n">
        <x:v>300000</x:v>
      </x:c>
      <x:c r="E29" s="2"/>
      <x:c r="F29" s="2"/>
      <x:c r="G29" s="2"/>
      <x:c r="H29" s="2"/>
      <x:c r="I29" s="2"/>
      <x:c r="J29" s="2"/>
      <x:c r="K29" s="25" t="str">
        <x:v>Cash purchases; no D&amp;A schedule included.</x:v>
      </x:c>
      <x:c r="L29" s="2"/>
      <x:c r="M29" s="2"/>
      <x:c r="N29" s="2"/>
      <x:c r="O29" s="2"/>
      <x:c r="P29" s="2"/>
      <x:c r="Q29" s="2"/>
    </x:row>
    <x:row r="30" ht="23" customHeight="1">
      <x:c r="A30" s="2"/>
      <x:c r="B30" s="2"/>
      <x:c r="C30" s="4" t="str">
        <x:v>Funding fees / gross raise</x:v>
      </x:c>
      <x:c r="D30" s="40" t="n">
        <x:v>0.03</x:v>
      </x:c>
      <x:c r="E30" s="2"/>
      <x:c r="F30" s="2"/>
      <x:c r="G30" s="2"/>
      <x:c r="H30" s="2"/>
      <x:c r="I30" s="2"/>
      <x:c r="J30" s="2"/>
      <x:c r="K30" s="25" t="str">
        <x:v>Planning allowance for legal and financing costs.</x:v>
      </x:c>
      <x:c r="L30" s="2"/>
      <x:c r="M30" s="2"/>
      <x:c r="N30" s="2"/>
      <x:c r="O30" s="2"/>
      <x:c r="P30" s="2"/>
      <x:c r="Q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3" customHeight="1">
      <x:c r="A33" s="2"/>
      <x:c r="B33" s="2"/>
      <x:c r="C33" s="20" t="str">
        <x:v>Five forecast years</x:v>
      </x:c>
      <x:c r="D33" s="21"/>
      <x:c r="E33" s="21"/>
      <x:c r="F33" s="21"/>
      <x:c r="G33" s="21"/>
      <x:c r="H33" s="21"/>
      <x:c r="I33" s="21"/>
      <x:c r="J33" s="2"/>
      <x:c r="K33" s="2"/>
      <x:c r="L33" s="2"/>
      <x:c r="M33" s="2"/>
      <x:c r="N33" s="2"/>
      <x:c r="O33" s="2"/>
      <x:c r="P33" s="2"/>
      <x:c r="Q33" s="2"/>
    </x:row>
    <x:row r="34" ht="27" customHeight="1">
      <x:c r="A34" s="2"/>
      <x:c r="B34" s="2"/>
      <x:c r="C34" s="2"/>
      <x:c r="D34" s="2"/>
      <x:c r="E34" s="50" t="str">
        <x:v>Y1</x:v>
      </x:c>
      <x:c r="F34" s="50" t="str">
        <x:v>Y2</x:v>
      </x:c>
      <x:c r="G34" s="50" t="str">
        <x:v>Y3</x:v>
      </x:c>
      <x:c r="H34" s="50" t="str">
        <x:v>Y4</x:v>
      </x:c>
      <x:c r="I34" s="50" t="str">
        <x:v>Y5</x:v>
      </x:c>
      <x:c r="J34" s="2"/>
      <x:c r="K34" s="2"/>
      <x:c r="L34" s="2"/>
      <x:c r="M34" s="2"/>
      <x:c r="N34" s="2"/>
      <x:c r="O34" s="2"/>
      <x:c r="P34" s="2"/>
      <x:c r="Q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3" customHeight="1">
      <x:c r="A36" s="2"/>
      <x:c r="B36" s="2"/>
      <x:c r="C36" s="18" t="str">
        <x:v>New India outlets / month</x:v>
      </x:c>
      <x:c r="D36" s="18" t="str">
        <x:v>Active</x:v>
      </x:c>
      <x:c r="E36" s="52" t="n">
        <x:f>IF(CHOOSE($D$4,ISNUMBER(E37),ISNUMBER(E38)),CHOOSE($D$4,E37,E38),"Missing input")</x:f>
        <x:v>8</x:v>
      </x:c>
      <x:c r="F36" s="52" t="n">
        <x:f>IF(CHOOSE($D$4,ISNUMBER(F37),ISNUMBER(F38)),CHOOSE($D$4,F37,F38),"Missing input")</x:f>
        <x:v>55</x:v>
      </x:c>
      <x:c r="G36" s="52" t="n">
        <x:f>IF(CHOOSE($D$4,ISNUMBER(G37),ISNUMBER(G38)),CHOOSE($D$4,G37,G38),"Missing input")</x:f>
        <x:v>180</x:v>
      </x:c>
      <x:c r="H36" s="52" t="n">
        <x:f>IF(CHOOSE($D$4,ISNUMBER(H37),ISNUMBER(H38)),CHOOSE($D$4,H37,H38),"Missing input")</x:f>
        <x:v>450</x:v>
      </x:c>
      <x:c r="I36" s="52" t="n">
        <x:f>IF(CHOOSE($D$4,ISNUMBER(I37),ISNUMBER(I38)),CHOOSE($D$4,I37,I38),"Missing input")</x:f>
        <x:v>900</x:v>
      </x:c>
      <x:c r="J36" s="2"/>
      <x:c r="K36" s="25" t="str">
        <x:v>Gross paid additions, before churn.</x:v>
      </x:c>
      <x:c r="L36" s="2"/>
      <x:c r="M36" s="2"/>
      <x:c r="N36" s="2"/>
      <x:c r="O36" s="2"/>
      <x:c r="P36" s="2"/>
      <x:c r="Q36" s="2"/>
    </x:row>
    <x:row r="37" ht="23" customHeight="1">
      <x:c r="A37" s="2"/>
      <x:c r="B37" s="2"/>
      <x:c r="C37" s="2"/>
      <x:c r="D37" s="4" t="str">
        <x:v>Base</x:v>
      </x:c>
      <x:c r="E37" s="37" t="n">
        <x:v>8</x:v>
      </x:c>
      <x:c r="F37" s="37" t="n">
        <x:v>55</x:v>
      </x:c>
      <x:c r="G37" s="37" t="n">
        <x:v>180</x:v>
      </x:c>
      <x:c r="H37" s="37" t="n">
        <x:v>450</x:v>
      </x:c>
      <x:c r="I37" s="37" t="n">
        <x:v>900</x:v>
      </x:c>
      <x:c r="J37" s="2"/>
      <x:c r="K37" s="2"/>
      <x:c r="L37" s="2"/>
      <x:c r="M37" s="2"/>
      <x:c r="N37" s="2"/>
      <x:c r="O37" s="2"/>
      <x:c r="P37" s="2"/>
      <x:c r="Q37" s="2"/>
    </x:row>
    <x:row r="38" ht="23" customHeight="1">
      <x:c r="A38" s="2"/>
      <x:c r="B38" s="2"/>
      <x:c r="C38" s="2"/>
      <x:c r="D38" s="4" t="str">
        <x:v>Downside</x:v>
      </x:c>
      <x:c r="E38" s="37" t="n">
        <x:v>4</x:v>
      </x:c>
      <x:c r="F38" s="37" t="n">
        <x:v>25</x:v>
      </x:c>
      <x:c r="G38" s="37" t="n">
        <x:v>80</x:v>
      </x:c>
      <x:c r="H38" s="37" t="n">
        <x:v>180</x:v>
      </x:c>
      <x:c r="I38" s="37" t="n">
        <x:v>350</x:v>
      </x:c>
      <x:c r="J38" s="2"/>
      <x:c r="K38" s="2"/>
      <x:c r="L38" s="2"/>
      <x:c r="M38" s="2"/>
      <x:c r="N38" s="2"/>
      <x:c r="O38" s="2"/>
      <x:c r="P38" s="2"/>
      <x:c r="Q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3" customHeight="1">
      <x:c r="A40" s="2"/>
      <x:c r="B40" s="2"/>
      <x:c r="C40" s="18" t="str">
        <x:v>New UAE outlets / month</x:v>
      </x:c>
      <x:c r="D40" s="18" t="str">
        <x:v>Active</x:v>
      </x:c>
      <x:c r="E40" s="52" t="n">
        <x:f>IF(CHOOSE($D$4,ISNUMBER(E41),ISNUMBER(E42)),CHOOSE($D$4,E41,E42),"Missing input")</x:f>
        <x:v>2</x:v>
      </x:c>
      <x:c r="F40" s="52" t="n">
        <x:f>IF(CHOOSE($D$4,ISNUMBER(F41),ISNUMBER(F42)),CHOOSE($D$4,F41,F42),"Missing input")</x:f>
        <x:v>12</x:v>
      </x:c>
      <x:c r="G40" s="52" t="n">
        <x:f>IF(CHOOSE($D$4,ISNUMBER(G41),ISNUMBER(G42)),CHOOSE($D$4,G41,G42),"Missing input")</x:f>
        <x:v>45</x:v>
      </x:c>
      <x:c r="H40" s="52" t="n">
        <x:f>IF(CHOOSE($D$4,ISNUMBER(H41),ISNUMBER(H42)),CHOOSE($D$4,H41,H42),"Missing input")</x:f>
        <x:v>90</x:v>
      </x:c>
      <x:c r="I40" s="52" t="n">
        <x:f>IF(CHOOSE($D$4,ISNUMBER(I41),ISNUMBER(I42)),CHOOSE($D$4,I41,I42),"Missing input")</x:f>
        <x:v>170</x:v>
      </x:c>
      <x:c r="J40" s="2"/>
      <x:c r="K40" s="25" t="str">
        <x:v>Gross paid additions; partner delivery must scale.</x:v>
      </x:c>
      <x:c r="L40" s="2"/>
      <x:c r="M40" s="2"/>
      <x:c r="N40" s="2"/>
      <x:c r="O40" s="2"/>
      <x:c r="P40" s="2"/>
      <x:c r="Q40" s="2"/>
    </x:row>
    <x:row r="41" ht="23" customHeight="1">
      <x:c r="A41" s="2"/>
      <x:c r="B41" s="2"/>
      <x:c r="C41" s="2"/>
      <x:c r="D41" s="4" t="str">
        <x:v>Base</x:v>
      </x:c>
      <x:c r="E41" s="37" t="n">
        <x:v>2</x:v>
      </x:c>
      <x:c r="F41" s="37" t="n">
        <x:v>12</x:v>
      </x:c>
      <x:c r="G41" s="37" t="n">
        <x:v>45</x:v>
      </x:c>
      <x:c r="H41" s="37" t="n">
        <x:v>90</x:v>
      </x:c>
      <x:c r="I41" s="37" t="n">
        <x:v>170</x:v>
      </x:c>
      <x:c r="J41" s="2"/>
      <x:c r="K41" s="2"/>
      <x:c r="L41" s="2"/>
      <x:c r="M41" s="2"/>
      <x:c r="N41" s="2"/>
      <x:c r="O41" s="2"/>
      <x:c r="P41" s="2"/>
      <x:c r="Q41" s="2"/>
    </x:row>
    <x:row r="42" ht="23" customHeight="1">
      <x:c r="A42" s="2"/>
      <x:c r="B42" s="2"/>
      <x:c r="C42" s="2"/>
      <x:c r="D42" s="4" t="str">
        <x:v>Downside</x:v>
      </x:c>
      <x:c r="E42" s="37" t="n">
        <x:v>1</x:v>
      </x:c>
      <x:c r="F42" s="37" t="n">
        <x:v>5</x:v>
      </x:c>
      <x:c r="G42" s="37" t="n">
        <x:v>18</x:v>
      </x:c>
      <x:c r="H42" s="37" t="n">
        <x:v>35</x:v>
      </x:c>
      <x:c r="I42" s="37" t="n">
        <x:v>60</x:v>
      </x:c>
      <x:c r="J42" s="2"/>
      <x:c r="K42" s="2"/>
      <x:c r="L42" s="2"/>
      <x:c r="M42" s="2"/>
      <x:c r="N42" s="2"/>
      <x:c r="O42" s="2"/>
      <x:c r="P42" s="2"/>
      <x:c r="Q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3" customHeight="1">
      <x:c r="A44" s="2"/>
      <x:c r="B44" s="2"/>
      <x:c r="C44" s="18" t="str">
        <x:v>India monthly outlet churn</x:v>
      </x:c>
      <x:c r="D44" s="18" t="str">
        <x:v>Active</x:v>
      </x:c>
      <x:c r="E44" s="54" t="n">
        <x:f>IF(CHOOSE($D$4,ISNUMBER(E45),ISNUMBER(E46)),CHOOSE($D$4,E45,E46),"Missing input")</x:f>
        <x:v>0.008</x:v>
      </x:c>
      <x:c r="F44" s="54" t="n">
        <x:f>IF(CHOOSE($D$4,ISNUMBER(F45),ISNUMBER(F46)),CHOOSE($D$4,F45,F46),"Missing input")</x:f>
        <x:v>0.008</x:v>
      </x:c>
      <x:c r="G44" s="54" t="n">
        <x:f>IF(CHOOSE($D$4,ISNUMBER(G45),ISNUMBER(G46)),CHOOSE($D$4,G45,G46),"Missing input")</x:f>
        <x:v>0.008</x:v>
      </x:c>
      <x:c r="H44" s="54" t="n">
        <x:f>IF(CHOOSE($D$4,ISNUMBER(H45),ISNUMBER(H46)),CHOOSE($D$4,H45,H46),"Missing input")</x:f>
        <x:v>0.008</x:v>
      </x:c>
      <x:c r="I44" s="54" t="n">
        <x:f>IF(CHOOSE($D$4,ISNUMBER(I45),ISNUMBER(I46)),CHOOSE($D$4,I45,I46),"Missing input")</x:f>
        <x:v>0.008</x:v>
      </x:c>
      <x:c r="J44" s="2"/>
      <x:c r="K44" s="25" t="str">
        <x:v>Total logo churn; every lost outlet loses its revenue.</x:v>
      </x:c>
      <x:c r="L44" s="2"/>
      <x:c r="M44" s="2"/>
      <x:c r="N44" s="2"/>
      <x:c r="O44" s="2"/>
      <x:c r="P44" s="2"/>
      <x:c r="Q44" s="2"/>
    </x:row>
    <x:row r="45" ht="23" customHeight="1">
      <x:c r="A45" s="2"/>
      <x:c r="B45" s="2"/>
      <x:c r="C45" s="2"/>
      <x:c r="D45" s="4" t="str">
        <x:v>Base</x:v>
      </x:c>
      <x:c r="E45" s="40" t="n">
        <x:v>0.008</x:v>
      </x:c>
      <x:c r="F45" s="40" t="n">
        <x:v>0.008</x:v>
      </x:c>
      <x:c r="G45" s="40" t="n">
        <x:v>0.008</x:v>
      </x:c>
      <x:c r="H45" s="40" t="n">
        <x:v>0.008</x:v>
      </x:c>
      <x:c r="I45" s="40" t="n">
        <x:v>0.008</x:v>
      </x:c>
      <x:c r="J45" s="2"/>
      <x:c r="K45" s="2"/>
      <x:c r="L45" s="2"/>
      <x:c r="M45" s="2"/>
      <x:c r="N45" s="2"/>
      <x:c r="O45" s="2"/>
      <x:c r="P45" s="2"/>
      <x:c r="Q45" s="2"/>
    </x:row>
    <x:row r="46" ht="23" customHeight="1">
      <x:c r="A46" s="2"/>
      <x:c r="B46" s="2"/>
      <x:c r="C46" s="2"/>
      <x:c r="D46" s="4" t="str">
        <x:v>Downside</x:v>
      </x:c>
      <x:c r="E46" s="40" t="n">
        <x:v>0.025</x:v>
      </x:c>
      <x:c r="F46" s="40" t="n">
        <x:v>0.025</x:v>
      </x:c>
      <x:c r="G46" s="40" t="n">
        <x:v>0.025</x:v>
      </x:c>
      <x:c r="H46" s="40" t="n">
        <x:v>0.025</x:v>
      </x:c>
      <x:c r="I46" s="40" t="n">
        <x:v>0.025</x:v>
      </x:c>
      <x:c r="J46" s="2"/>
      <x:c r="K46" s="2"/>
      <x:c r="L46" s="2"/>
      <x:c r="M46" s="2"/>
      <x:c r="N46" s="2"/>
      <x:c r="O46" s="2"/>
      <x:c r="P46" s="2"/>
      <x:c r="Q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3" customHeight="1">
      <x:c r="A48" s="2"/>
      <x:c r="B48" s="2"/>
      <x:c r="C48" s="18" t="str">
        <x:v>UAE monthly outlet churn</x:v>
      </x:c>
      <x:c r="D48" s="18" t="str">
        <x:v>Active</x:v>
      </x:c>
      <x:c r="E48" s="54" t="n">
        <x:f>IF(CHOOSE($D$4,ISNUMBER(E49),ISNUMBER(E50)),CHOOSE($D$4,E49,E50),"Missing input")</x:f>
        <x:v>0.007</x:v>
      </x:c>
      <x:c r="F48" s="54" t="n">
        <x:f>IF(CHOOSE($D$4,ISNUMBER(F49),ISNUMBER(F50)),CHOOSE($D$4,F49,F50),"Missing input")</x:f>
        <x:v>0.007</x:v>
      </x:c>
      <x:c r="G48" s="54" t="n">
        <x:f>IF(CHOOSE($D$4,ISNUMBER(G49),ISNUMBER(G50)),CHOOSE($D$4,G49,G50),"Missing input")</x:f>
        <x:v>0.007</x:v>
      </x:c>
      <x:c r="H48" s="54" t="n">
        <x:f>IF(CHOOSE($D$4,ISNUMBER(H49),ISNUMBER(H50)),CHOOSE($D$4,H49,H50),"Missing input")</x:f>
        <x:v>0.007</x:v>
      </x:c>
      <x:c r="I48" s="54" t="n">
        <x:f>IF(CHOOSE($D$4,ISNUMBER(I49),ISNUMBER(I50)),CHOOSE($D$4,I49,I50),"Missing input")</x:f>
        <x:v>0.007</x:v>
      </x:c>
      <x:c r="J48" s="2"/>
      <x:c r="K48" s="25" t="str">
        <x:v>Annual retention is (1 - monthly churn)^12.</x:v>
      </x:c>
      <x:c r="L48" s="2"/>
      <x:c r="M48" s="2"/>
      <x:c r="N48" s="2"/>
      <x:c r="O48" s="2"/>
      <x:c r="P48" s="2"/>
      <x:c r="Q48" s="2"/>
    </x:row>
    <x:row r="49" ht="23" customHeight="1">
      <x:c r="A49" s="2"/>
      <x:c r="B49" s="2"/>
      <x:c r="C49" s="2"/>
      <x:c r="D49" s="4" t="str">
        <x:v>Base</x:v>
      </x:c>
      <x:c r="E49" s="40" t="n">
        <x:v>0.007</x:v>
      </x:c>
      <x:c r="F49" s="40" t="n">
        <x:v>0.007</x:v>
      </x:c>
      <x:c r="G49" s="40" t="n">
        <x:v>0.007</x:v>
      </x:c>
      <x:c r="H49" s="40" t="n">
        <x:v>0.007</x:v>
      </x:c>
      <x:c r="I49" s="40" t="n">
        <x:v>0.007</x:v>
      </x:c>
      <x:c r="J49" s="2"/>
      <x:c r="K49" s="2"/>
      <x:c r="L49" s="2"/>
      <x:c r="M49" s="2"/>
      <x:c r="N49" s="2"/>
      <x:c r="O49" s="2"/>
      <x:c r="P49" s="2"/>
      <x:c r="Q49" s="2"/>
    </x:row>
    <x:row r="50" ht="23" customHeight="1">
      <x:c r="A50" s="2"/>
      <x:c r="B50" s="2"/>
      <x:c r="C50" s="2"/>
      <x:c r="D50" s="4" t="str">
        <x:v>Downside</x:v>
      </x:c>
      <x:c r="E50" s="40" t="n">
        <x:v>0.02</x:v>
      </x:c>
      <x:c r="F50" s="40" t="n">
        <x:v>0.02</x:v>
      </x:c>
      <x:c r="G50" s="40" t="n">
        <x:v>0.02</x:v>
      </x:c>
      <x:c r="H50" s="40" t="n">
        <x:v>0.02</x:v>
      </x:c>
      <x:c r="I50" s="40" t="n">
        <x:v>0.02</x:v>
      </x:c>
      <x:c r="J50" s="2"/>
      <x:c r="K50" s="2"/>
      <x:c r="L50" s="2"/>
      <x:c r="M50" s="2"/>
      <x:c r="N50" s="2"/>
      <x:c r="O50" s="2"/>
      <x:c r="P50" s="2"/>
      <x:c r="Q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3" customHeight="1">
      <x:c r="A52" s="2"/>
      <x:c r="B52" s="2"/>
      <x:c r="C52" s="18" t="str">
        <x:v>India Growth-plan share</x:v>
      </x:c>
      <x:c r="D52" s="18" t="str">
        <x:v>Active</x:v>
      </x:c>
      <x:c r="E52" s="54" t="n">
        <x:f>IF(CHOOSE($D$4,ISNUMBER(E53),ISNUMBER(E54)),CHOOSE($D$4,E53,E54),"Missing input")</x:f>
        <x:v>0.3</x:v>
      </x:c>
      <x:c r="F52" s="54" t="n">
        <x:f>IF(CHOOSE($D$4,ISNUMBER(F53),ISNUMBER(F54)),CHOOSE($D$4,F53,F54),"Missing input")</x:f>
        <x:v>0.4</x:v>
      </x:c>
      <x:c r="G52" s="54" t="n">
        <x:f>IF(CHOOSE($D$4,ISNUMBER(G53),ISNUMBER(G54)),CHOOSE($D$4,G53,G54),"Missing input")</x:f>
        <x:v>0.45</x:v>
      </x:c>
      <x:c r="H52" s="54" t="n">
        <x:f>IF(CHOOSE($D$4,ISNUMBER(H53),ISNUMBER(H54)),CHOOSE($D$4,H53,H54),"Missing input")</x:f>
        <x:v>0.5</x:v>
      </x:c>
      <x:c r="I52" s="54" t="n">
        <x:f>IF(CHOOSE($D$4,ISNUMBER(I53),ISNUMBER(I54)),CHOOSE($D$4,I53,I54),"Missing input")</x:f>
        <x:v>0.55</x:v>
      </x:c>
      <x:c r="J52" s="2"/>
      <x:c r="K52" s="25" t="str">
        <x:v>Portfolio mix, not measured same-customer expansion.</x:v>
      </x:c>
      <x:c r="L52" s="2"/>
      <x:c r="M52" s="2"/>
      <x:c r="N52" s="2"/>
      <x:c r="O52" s="2"/>
      <x:c r="P52" s="2"/>
      <x:c r="Q52" s="2"/>
    </x:row>
    <x:row r="53" ht="23" customHeight="1">
      <x:c r="A53" s="2"/>
      <x:c r="B53" s="2"/>
      <x:c r="C53" s="2"/>
      <x:c r="D53" s="4" t="str">
        <x:v>Base</x:v>
      </x:c>
      <x:c r="E53" s="40" t="n">
        <x:v>0.3</x:v>
      </x:c>
      <x:c r="F53" s="40" t="n">
        <x:v>0.4</x:v>
      </x:c>
      <x:c r="G53" s="40" t="n">
        <x:v>0.45</x:v>
      </x:c>
      <x:c r="H53" s="40" t="n">
        <x:v>0.5</x:v>
      </x:c>
      <x:c r="I53" s="40" t="n">
        <x:v>0.55</x:v>
      </x:c>
      <x:c r="J53" s="2"/>
      <x:c r="K53" s="2"/>
      <x:c r="L53" s="2"/>
      <x:c r="M53" s="2"/>
      <x:c r="N53" s="2"/>
      <x:c r="O53" s="2"/>
      <x:c r="P53" s="2"/>
      <x:c r="Q53" s="2"/>
    </x:row>
    <x:row r="54" ht="23" customHeight="1">
      <x:c r="A54" s="2"/>
      <x:c r="B54" s="2"/>
      <x:c r="C54" s="2"/>
      <x:c r="D54" s="4" t="str">
        <x:v>Downside</x:v>
      </x:c>
      <x:c r="E54" s="40" t="n">
        <x:v>0.2</x:v>
      </x:c>
      <x:c r="F54" s="40" t="n">
        <x:v>0.25</x:v>
      </x:c>
      <x:c r="G54" s="40" t="n">
        <x:v>0.3</x:v>
      </x:c>
      <x:c r="H54" s="40" t="n">
        <x:v>0.35</x:v>
      </x:c>
      <x:c r="I54" s="40" t="n">
        <x:v>0.4</x:v>
      </x:c>
      <x:c r="J54" s="2"/>
      <x:c r="K54" s="2"/>
      <x:c r="L54" s="2"/>
      <x:c r="M54" s="2"/>
      <x:c r="N54" s="2"/>
      <x:c r="O54" s="2"/>
      <x:c r="P54" s="2"/>
      <x:c r="Q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3" customHeight="1">
      <x:c r="A56" s="2"/>
      <x:c r="B56" s="2"/>
      <x:c r="C56" s="18" t="str">
        <x:v>UAE Growth-plan share</x:v>
      </x:c>
      <x:c r="D56" s="18" t="str">
        <x:v>Active</x:v>
      </x:c>
      <x:c r="E56" s="54" t="n">
        <x:f>IF(CHOOSE($D$4,ISNUMBER(E57),ISNUMBER(E58)),CHOOSE($D$4,E57,E58),"Missing input")</x:f>
        <x:v>0.4</x:v>
      </x:c>
      <x:c r="F56" s="54" t="n">
        <x:f>IF(CHOOSE($D$4,ISNUMBER(F57),ISNUMBER(F58)),CHOOSE($D$4,F57,F58),"Missing input")</x:f>
        <x:v>0.45</x:v>
      </x:c>
      <x:c r="G56" s="54" t="n">
        <x:f>IF(CHOOSE($D$4,ISNUMBER(G57),ISNUMBER(G58)),CHOOSE($D$4,G57,G58),"Missing input")</x:f>
        <x:v>0.5</x:v>
      </x:c>
      <x:c r="H56" s="54" t="n">
        <x:f>IF(CHOOSE($D$4,ISNUMBER(H57),ISNUMBER(H58)),CHOOSE($D$4,H57,H58),"Missing input")</x:f>
        <x:v>0.55</x:v>
      </x:c>
      <x:c r="I56" s="54" t="n">
        <x:f>IF(CHOOSE($D$4,ISNUMBER(I57),ISNUMBER(I58)),CHOOSE($D$4,I57,I58),"Missing input")</x:f>
        <x:v>0.6</x:v>
      </x:c>
      <x:c r="J56" s="2"/>
      <x:c r="K56" s="25" t="str">
        <x:v>Core/Growth only; Scale and new modules excluded.</x:v>
      </x:c>
      <x:c r="L56" s="2"/>
      <x:c r="M56" s="2"/>
      <x:c r="N56" s="2"/>
      <x:c r="O56" s="2"/>
      <x:c r="P56" s="2"/>
      <x:c r="Q56" s="2"/>
    </x:row>
    <x:row r="57" ht="23" customHeight="1">
      <x:c r="A57" s="2"/>
      <x:c r="B57" s="2"/>
      <x:c r="C57" s="2"/>
      <x:c r="D57" s="4" t="str">
        <x:v>Base</x:v>
      </x:c>
      <x:c r="E57" s="40" t="n">
        <x:v>0.4</x:v>
      </x:c>
      <x:c r="F57" s="40" t="n">
        <x:v>0.45</x:v>
      </x:c>
      <x:c r="G57" s="40" t="n">
        <x:v>0.5</x:v>
      </x:c>
      <x:c r="H57" s="40" t="n">
        <x:v>0.55</x:v>
      </x:c>
      <x:c r="I57" s="40" t="n">
        <x:v>0.6</x:v>
      </x:c>
      <x:c r="J57" s="2"/>
      <x:c r="K57" s="2"/>
      <x:c r="L57" s="2"/>
      <x:c r="M57" s="2"/>
      <x:c r="N57" s="2"/>
      <x:c r="O57" s="2"/>
      <x:c r="P57" s="2"/>
      <x:c r="Q57" s="2"/>
    </x:row>
    <x:row r="58" ht="23" customHeight="1">
      <x:c r="A58" s="2"/>
      <x:c r="B58" s="2"/>
      <x:c r="C58" s="2"/>
      <x:c r="D58" s="4" t="str">
        <x:v>Downside</x:v>
      </x:c>
      <x:c r="E58" s="40" t="n">
        <x:v>0.3</x:v>
      </x:c>
      <x:c r="F58" s="40" t="n">
        <x:v>0.35</x:v>
      </x:c>
      <x:c r="G58" s="40" t="n">
        <x:v>0.4</x:v>
      </x:c>
      <x:c r="H58" s="40" t="n">
        <x:v>0.45</x:v>
      </x:c>
      <x:c r="I58" s="40" t="n">
        <x:v>0.5</x:v>
      </x:c>
      <x:c r="J58" s="2"/>
      <x:c r="K58" s="2"/>
      <x:c r="L58" s="2"/>
      <x:c r="M58" s="2"/>
      <x:c r="N58" s="2"/>
      <x:c r="O58" s="2"/>
      <x:c r="P58" s="2"/>
      <x:c r="Q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3" customHeight="1">
      <x:c r="A60" s="2"/>
      <x:c r="B60" s="2"/>
      <x:c r="C60" s="18" t="str">
        <x:v>India fully loaded CAC (INR)</x:v>
      </x:c>
      <x:c r="D60" s="18" t="str">
        <x:v>Active</x:v>
      </x:c>
      <x:c r="E60" s="52" t="n">
        <x:f>IF(CHOOSE($D$4,ISNUMBER(E61),ISNUMBER(E62)),CHOOSE($D$4,E61,E62),"Missing input")</x:f>
        <x:v>6000</x:v>
      </x:c>
      <x:c r="F60" s="52" t="n">
        <x:f>IF(CHOOSE($D$4,ISNUMBER(F61),ISNUMBER(F62)),CHOOSE($D$4,F61,F62),"Missing input")</x:f>
        <x:v>6500</x:v>
      </x:c>
      <x:c r="G60" s="52" t="n">
        <x:f>IF(CHOOSE($D$4,ISNUMBER(G61),ISNUMBER(G62)),CHOOSE($D$4,G61,G62),"Missing input")</x:f>
        <x:v>7000</x:v>
      </x:c>
      <x:c r="H60" s="52" t="n">
        <x:f>IF(CHOOSE($D$4,ISNUMBER(H61),ISNUMBER(H62)),CHOOSE($D$4,H61,H62),"Missing input")</x:f>
        <x:v>8000</x:v>
      </x:c>
      <x:c r="I60" s="52" t="n">
        <x:f>IF(CHOOSE($D$4,ISNUMBER(I61),ISNUMBER(I62)),CHOOSE($D$4,I61,I62),"Missing input")</x:f>
        <x:v>9000</x:v>
      </x:c>
      <x:c r="J60" s="2"/>
      <x:c r="K60" s="25" t="str">
        <x:v>All acquisition spend and sales payroll per new paid outlet.</x:v>
      </x:c>
      <x:c r="L60" s="2"/>
      <x:c r="M60" s="2"/>
      <x:c r="N60" s="2"/>
      <x:c r="O60" s="2"/>
      <x:c r="P60" s="2"/>
      <x:c r="Q60" s="2"/>
    </x:row>
    <x:row r="61" ht="23" customHeight="1">
      <x:c r="A61" s="2"/>
      <x:c r="B61" s="2"/>
      <x:c r="C61" s="2"/>
      <x:c r="D61" s="4" t="str">
        <x:v>Base</x:v>
      </x:c>
      <x:c r="E61" s="37" t="n">
        <x:v>6000</x:v>
      </x:c>
      <x:c r="F61" s="37" t="n">
        <x:v>6500</x:v>
      </x:c>
      <x:c r="G61" s="37" t="n">
        <x:v>7000</x:v>
      </x:c>
      <x:c r="H61" s="37" t="n">
        <x:v>8000</x:v>
      </x:c>
      <x:c r="I61" s="37" t="n">
        <x:v>9000</x:v>
      </x:c>
      <x:c r="J61" s="2"/>
      <x:c r="K61" s="2"/>
      <x:c r="L61" s="2"/>
      <x:c r="M61" s="2"/>
      <x:c r="N61" s="2"/>
      <x:c r="O61" s="2"/>
      <x:c r="P61" s="2"/>
      <x:c r="Q61" s="2"/>
    </x:row>
    <x:row r="62" ht="23" customHeight="1">
      <x:c r="A62" s="2"/>
      <x:c r="B62" s="2"/>
      <x:c r="C62" s="2"/>
      <x:c r="D62" s="4" t="str">
        <x:v>Downside</x:v>
      </x:c>
      <x:c r="E62" s="37" t="n">
        <x:v>9000</x:v>
      </x:c>
      <x:c r="F62" s="37" t="n">
        <x:v>9500</x:v>
      </x:c>
      <x:c r="G62" s="37" t="n">
        <x:v>10500</x:v>
      </x:c>
      <x:c r="H62" s="37" t="n">
        <x:v>11500</x:v>
      </x:c>
      <x:c r="I62" s="37" t="n">
        <x:v>12500</x:v>
      </x:c>
      <x:c r="J62" s="2"/>
      <x:c r="K62" s="2"/>
      <x:c r="L62" s="2"/>
      <x:c r="M62" s="2"/>
      <x:c r="N62" s="2"/>
      <x:c r="O62" s="2"/>
      <x:c r="P62" s="2"/>
      <x:c r="Q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3" customHeight="1">
      <x:c r="A64" s="2"/>
      <x:c r="B64" s="2"/>
      <x:c r="C64" s="18" t="str">
        <x:v>UAE fully loaded CAC (AED)</x:v>
      </x:c>
      <x:c r="D64" s="18" t="str">
        <x:v>Active</x:v>
      </x:c>
      <x:c r="E64" s="52" t="n">
        <x:f>IF(CHOOSE($D$4,ISNUMBER(E65),ISNUMBER(E66)),CHOOSE($D$4,E65,E66),"Missing input")</x:f>
        <x:v>700</x:v>
      </x:c>
      <x:c r="F64" s="52" t="n">
        <x:f>IF(CHOOSE($D$4,ISNUMBER(F65),ISNUMBER(F66)),CHOOSE($D$4,F65,F66),"Missing input")</x:f>
        <x:v>750</x:v>
      </x:c>
      <x:c r="G64" s="52" t="n">
        <x:f>IF(CHOOSE($D$4,ISNUMBER(G65),ISNUMBER(G66)),CHOOSE($D$4,G65,G66),"Missing input")</x:f>
        <x:v>800</x:v>
      </x:c>
      <x:c r="H64" s="52" t="n">
        <x:f>IF(CHOOSE($D$4,ISNUMBER(H65),ISNUMBER(H66)),CHOOSE($D$4,H65,H66),"Missing input")</x:f>
        <x:v>900</x:v>
      </x:c>
      <x:c r="I64" s="52" t="n">
        <x:f>IF(CHOOSE($D$4,ISNUMBER(I65),ISNUMBER(I66)),CHOOSE($D$4,I65,I66),"Missing input")</x:f>
        <x:v>1000</x:v>
      </x:c>
      <x:c r="J64" s="2"/>
      <x:c r="K64" s="25" t="str">
        <x:v>Paid leads, sales payroll, commissions and travel.</x:v>
      </x:c>
      <x:c r="L64" s="2"/>
      <x:c r="M64" s="2"/>
      <x:c r="N64" s="2"/>
      <x:c r="O64" s="2"/>
      <x:c r="P64" s="2"/>
      <x:c r="Q64" s="2"/>
    </x:row>
    <x:row r="65" ht="23" customHeight="1">
      <x:c r="A65" s="2"/>
      <x:c r="B65" s="2"/>
      <x:c r="C65" s="2"/>
      <x:c r="D65" s="4" t="str">
        <x:v>Base</x:v>
      </x:c>
      <x:c r="E65" s="37" t="n">
        <x:v>700</x:v>
      </x:c>
      <x:c r="F65" s="37" t="n">
        <x:v>750</x:v>
      </x:c>
      <x:c r="G65" s="37" t="n">
        <x:v>800</x:v>
      </x:c>
      <x:c r="H65" s="37" t="n">
        <x:v>900</x:v>
      </x:c>
      <x:c r="I65" s="37" t="n">
        <x:v>1000</x:v>
      </x:c>
      <x:c r="J65" s="2"/>
      <x:c r="K65" s="2"/>
      <x:c r="L65" s="2"/>
      <x:c r="M65" s="2"/>
      <x:c r="N65" s="2"/>
      <x:c r="O65" s="2"/>
      <x:c r="P65" s="2"/>
      <x:c r="Q65" s="2"/>
    </x:row>
    <x:row r="66" ht="23" customHeight="1">
      <x:c r="A66" s="2"/>
      <x:c r="B66" s="2"/>
      <x:c r="C66" s="2"/>
      <x:c r="D66" s="4" t="str">
        <x:v>Downside</x:v>
      </x:c>
      <x:c r="E66" s="37" t="n">
        <x:v>1000</x:v>
      </x:c>
      <x:c r="F66" s="37" t="n">
        <x:v>1100</x:v>
      </x:c>
      <x:c r="G66" s="37" t="n">
        <x:v>1200</x:v>
      </x:c>
      <x:c r="H66" s="37" t="n">
        <x:v>1300</x:v>
      </x:c>
      <x:c r="I66" s="37" t="n">
        <x:v>1400</x:v>
      </x:c>
      <x:c r="J66" s="2"/>
      <x:c r="K66" s="2"/>
      <x:c r="L66" s="2"/>
      <x:c r="M66" s="2"/>
      <x:c r="N66" s="2"/>
      <x:c r="O66" s="2"/>
      <x:c r="P66" s="2"/>
      <x:c r="Q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3" customHeight="1">
      <x:c r="A68" s="2"/>
      <x:c r="B68" s="2"/>
      <x:c r="C68" s="18" t="str">
        <x:v>Product and central team FTE</x:v>
      </x:c>
      <x:c r="D68" s="18" t="str">
        <x:v>Active</x:v>
      </x:c>
      <x:c r="E68" s="52" t="n">
        <x:f>IF(CHOOSE($D$4,ISNUMBER(E69),ISNUMBER(E70)),CHOOSE($D$4,E69,E70),"Missing input")</x:f>
        <x:v>3</x:v>
      </x:c>
      <x:c r="F68" s="52" t="n">
        <x:f>IF(CHOOSE($D$4,ISNUMBER(F69),ISNUMBER(F70)),CHOOSE($D$4,F69,F70),"Missing input")</x:f>
        <x:v>8</x:v>
      </x:c>
      <x:c r="G68" s="52" t="n">
        <x:f>IF(CHOOSE($D$4,ISNUMBER(G69),ISNUMBER(G70)),CHOOSE($D$4,G69,G70),"Missing input")</x:f>
        <x:v>18</x:v>
      </x:c>
      <x:c r="H68" s="52" t="n">
        <x:f>IF(CHOOSE($D$4,ISNUMBER(H69),ISNUMBER(H70)),CHOOSE($D$4,H69,H70),"Missing input")</x:f>
        <x:v>35</x:v>
      </x:c>
      <x:c r="I68" s="52" t="n">
        <x:f>IF(CHOOSE($D$4,ISNUMBER(I69),ISNUMBER(I70)),CHOOSE($D$4,I69,I70),"Missing input")</x:f>
        <x:v>60</x:v>
      </x:c>
      <x:c r="J68" s="2"/>
      <x:c r="K68" s="25" t="str">
        <x:v>Excludes support, onboarding, sales and custom delivery.</x:v>
      </x:c>
      <x:c r="L68" s="2"/>
      <x:c r="M68" s="2"/>
      <x:c r="N68" s="2"/>
      <x:c r="O68" s="2"/>
      <x:c r="P68" s="2"/>
      <x:c r="Q68" s="2"/>
    </x:row>
    <x:row r="69" ht="23" customHeight="1">
      <x:c r="A69" s="2"/>
      <x:c r="B69" s="2"/>
      <x:c r="C69" s="2"/>
      <x:c r="D69" s="4" t="str">
        <x:v>Base</x:v>
      </x:c>
      <x:c r="E69" s="37" t="n">
        <x:v>3</x:v>
      </x:c>
      <x:c r="F69" s="37" t="n">
        <x:v>8</x:v>
      </x:c>
      <x:c r="G69" s="37" t="n">
        <x:v>18</x:v>
      </x:c>
      <x:c r="H69" s="37" t="n">
        <x:v>35</x:v>
      </x:c>
      <x:c r="I69" s="37" t="n">
        <x:v>60</x:v>
      </x:c>
      <x:c r="J69" s="2"/>
      <x:c r="K69" s="2"/>
      <x:c r="L69" s="2"/>
      <x:c r="M69" s="2"/>
      <x:c r="N69" s="2"/>
      <x:c r="O69" s="2"/>
      <x:c r="P69" s="2"/>
      <x:c r="Q69" s="2"/>
    </x:row>
    <x:row r="70" ht="23" customHeight="1">
      <x:c r="A70" s="2"/>
      <x:c r="B70" s="2"/>
      <x:c r="C70" s="2"/>
      <x:c r="D70" s="4" t="str">
        <x:v>Downside</x:v>
      </x:c>
      <x:c r="E70" s="37" t="n">
        <x:v>3</x:v>
      </x:c>
      <x:c r="F70" s="37" t="n">
        <x:v>8</x:v>
      </x:c>
      <x:c r="G70" s="37" t="n">
        <x:v>18</x:v>
      </x:c>
      <x:c r="H70" s="37" t="n">
        <x:v>35</x:v>
      </x:c>
      <x:c r="I70" s="37" t="n">
        <x:v>60</x:v>
      </x:c>
      <x:c r="J70" s="2"/>
      <x:c r="K70" s="2"/>
      <x:c r="L70" s="2"/>
      <x:c r="M70" s="2"/>
      <x:c r="N70" s="2"/>
      <x:c r="O70" s="2"/>
      <x:c r="P70" s="2"/>
      <x:c r="Q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3" customHeight="1">
      <x:c r="A72" s="2"/>
      <x:c r="B72" s="2"/>
      <x:c r="C72" s="18" t="str">
        <x:v>Loaded cost / central FTE (INR/mo)</x:v>
      </x:c>
      <x:c r="D72" s="18" t="str">
        <x:v>Active</x:v>
      </x:c>
      <x:c r="E72" s="52" t="n">
        <x:f>IF(CHOOSE($D$4,ISNUMBER(E73),ISNUMBER(E74)),CHOOSE($D$4,E73,E74),"Missing input")</x:f>
        <x:v>110000</x:v>
      </x:c>
      <x:c r="F72" s="52" t="n">
        <x:f>IF(CHOOSE($D$4,ISNUMBER(F73),ISNUMBER(F74)),CHOOSE($D$4,F73,F74),"Missing input")</x:f>
        <x:v>120000</x:v>
      </x:c>
      <x:c r="G72" s="52" t="n">
        <x:f>IF(CHOOSE($D$4,ISNUMBER(G73),ISNUMBER(G74)),CHOOSE($D$4,G73,G74),"Missing input")</x:f>
        <x:v>135000</x:v>
      </x:c>
      <x:c r="H72" s="52" t="n">
        <x:f>IF(CHOOSE($D$4,ISNUMBER(H73),ISNUMBER(H74)),CHOOSE($D$4,H73,H74),"Missing input")</x:f>
        <x:v>150000</x:v>
      </x:c>
      <x:c r="I72" s="52" t="n">
        <x:f>IF(CHOOSE($D$4,ISNUMBER(I73),ISNUMBER(I74)),CHOOSE($D$4,I73,I74),"Missing input")</x:f>
        <x:v>165000</x:v>
      </x:c>
      <x:c r="J72" s="2"/>
      <x:c r="K72" s="25" t="str">
        <x:v>Product/engineering/security and central operations.</x:v>
      </x:c>
      <x:c r="L72" s="2"/>
      <x:c r="M72" s="2"/>
      <x:c r="N72" s="2"/>
      <x:c r="O72" s="2"/>
      <x:c r="P72" s="2"/>
      <x:c r="Q72" s="2"/>
    </x:row>
    <x:row r="73" ht="23" customHeight="1">
      <x:c r="A73" s="2"/>
      <x:c r="B73" s="2"/>
      <x:c r="C73" s="2"/>
      <x:c r="D73" s="4" t="str">
        <x:v>Base</x:v>
      </x:c>
      <x:c r="E73" s="37" t="n">
        <x:v>110000</x:v>
      </x:c>
      <x:c r="F73" s="37" t="n">
        <x:v>120000</x:v>
      </x:c>
      <x:c r="G73" s="37" t="n">
        <x:v>135000</x:v>
      </x:c>
      <x:c r="H73" s="37" t="n">
        <x:v>150000</x:v>
      </x:c>
      <x:c r="I73" s="37" t="n">
        <x:v>165000</x:v>
      </x:c>
      <x:c r="J73" s="2"/>
      <x:c r="K73" s="2"/>
      <x:c r="L73" s="2"/>
      <x:c r="M73" s="2"/>
      <x:c r="N73" s="2"/>
      <x:c r="O73" s="2"/>
      <x:c r="P73" s="2"/>
      <x:c r="Q73" s="2"/>
    </x:row>
    <x:row r="74" ht="23" customHeight="1">
      <x:c r="A74" s="2"/>
      <x:c r="B74" s="2"/>
      <x:c r="C74" s="2"/>
      <x:c r="D74" s="4" t="str">
        <x:v>Downside</x:v>
      </x:c>
      <x:c r="E74" s="37" t="n">
        <x:v>110000</x:v>
      </x:c>
      <x:c r="F74" s="37" t="n">
        <x:v>120000</x:v>
      </x:c>
      <x:c r="G74" s="37" t="n">
        <x:v>135000</x:v>
      </x:c>
      <x:c r="H74" s="37" t="n">
        <x:v>150000</x:v>
      </x:c>
      <x:c r="I74" s="37" t="n">
        <x:v>165000</x:v>
      </x:c>
      <x:c r="J74" s="2"/>
      <x:c r="K74" s="2"/>
      <x:c r="L74" s="2"/>
      <x:c r="M74" s="2"/>
      <x:c r="N74" s="2"/>
      <x:c r="O74" s="2"/>
      <x:c r="P74" s="2"/>
      <x:c r="Q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3" customHeight="1">
      <x:c r="A76" s="2"/>
      <x:c r="B76" s="2"/>
      <x:c r="C76" s="18" t="str">
        <x:v>Fixed G&amp;A cash (INR/mo)</x:v>
      </x:c>
      <x:c r="D76" s="18" t="str">
        <x:v>Active</x:v>
      </x:c>
      <x:c r="E76" s="52" t="n">
        <x:f>IF(CHOOSE($D$4,ISNUMBER(E77),ISNUMBER(E78)),CHOOSE($D$4,E77,E78),"Missing input")</x:f>
        <x:v>100000</x:v>
      </x:c>
      <x:c r="F76" s="52" t="n">
        <x:f>IF(CHOOSE($D$4,ISNUMBER(F77),ISNUMBER(F78)),CHOOSE($D$4,F77,F78),"Missing input")</x:f>
        <x:v>200000</x:v>
      </x:c>
      <x:c r="G76" s="52" t="n">
        <x:f>IF(CHOOSE($D$4,ISNUMBER(G77),ISNUMBER(G78)),CHOOSE($D$4,G77,G78),"Missing input")</x:f>
        <x:v>500000</x:v>
      </x:c>
      <x:c r="H76" s="52" t="n">
        <x:f>IF(CHOOSE($D$4,ISNUMBER(H77),ISNUMBER(H78)),CHOOSE($D$4,H77,H78),"Missing input")</x:f>
        <x:v>1000000</x:v>
      </x:c>
      <x:c r="I76" s="52" t="n">
        <x:f>IF(CHOOSE($D$4,ISNUMBER(I77),ISNUMBER(I78)),CHOOSE($D$4,I77,I78),"Missing input")</x:f>
        <x:v>2000000</x:v>
      </x:c>
      <x:c r="J76" s="2"/>
      <x:c r="K76" s="25" t="str">
        <x:v>Accounting, rent, compliance, tools and insurance.</x:v>
      </x:c>
      <x:c r="L76" s="2"/>
      <x:c r="M76" s="2"/>
      <x:c r="N76" s="2"/>
      <x:c r="O76" s="2"/>
      <x:c r="P76" s="2"/>
      <x:c r="Q76" s="2"/>
    </x:row>
    <x:row r="77" ht="23" customHeight="1">
      <x:c r="A77" s="2"/>
      <x:c r="B77" s="2"/>
      <x:c r="C77" s="2"/>
      <x:c r="D77" s="4" t="str">
        <x:v>Base</x:v>
      </x:c>
      <x:c r="E77" s="37" t="n">
        <x:v>100000</x:v>
      </x:c>
      <x:c r="F77" s="37" t="n">
        <x:v>200000</x:v>
      </x:c>
      <x:c r="G77" s="37" t="n">
        <x:v>500000</x:v>
      </x:c>
      <x:c r="H77" s="37" t="n">
        <x:v>1000000</x:v>
      </x:c>
      <x:c r="I77" s="37" t="n">
        <x:v>2000000</x:v>
      </x:c>
      <x:c r="J77" s="2"/>
      <x:c r="K77" s="2"/>
      <x:c r="L77" s="2"/>
      <x:c r="M77" s="2"/>
      <x:c r="N77" s="2"/>
      <x:c r="O77" s="2"/>
      <x:c r="P77" s="2"/>
      <x:c r="Q77" s="2"/>
    </x:row>
    <x:row r="78" ht="23" customHeight="1">
      <x:c r="A78" s="2"/>
      <x:c r="B78" s="2"/>
      <x:c r="C78" s="2"/>
      <x:c r="D78" s="4" t="str">
        <x:v>Downside</x:v>
      </x:c>
      <x:c r="E78" s="37" t="n">
        <x:v>100000</x:v>
      </x:c>
      <x:c r="F78" s="37" t="n">
        <x:v>200000</x:v>
      </x:c>
      <x:c r="G78" s="37" t="n">
        <x:v>500000</x:v>
      </x:c>
      <x:c r="H78" s="37" t="n">
        <x:v>1000000</x:v>
      </x:c>
      <x:c r="I78" s="37" t="n">
        <x:v>2000000</x:v>
      </x:c>
      <x:c r="J78" s="2"/>
      <x:c r="K78" s="2"/>
      <x:c r="L78" s="2"/>
      <x:c r="M78" s="2"/>
      <x:c r="N78" s="2"/>
      <x:c r="O78" s="2"/>
      <x:c r="P78" s="2"/>
      <x:c r="Q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3" customHeight="1">
      <x:c r="A80" s="2"/>
      <x:c r="B80" s="2"/>
      <x:c r="C80" s="18" t="str">
        <x:v>Fixed infrastructure (INR/mo)</x:v>
      </x:c>
      <x:c r="D80" s="18" t="str">
        <x:v>Active</x:v>
      </x:c>
      <x:c r="E80" s="52" t="n">
        <x:f>IF(CHOOSE($D$4,ISNUMBER(E81),ISNUMBER(E82)),CHOOSE($D$4,E81,E82),"Missing input")</x:f>
        <x:v>25000</x:v>
      </x:c>
      <x:c r="F80" s="52" t="n">
        <x:f>IF(CHOOSE($D$4,ISNUMBER(F81),ISNUMBER(F82)),CHOOSE($D$4,F81,F82),"Missing input")</x:f>
        <x:v>50000</x:v>
      </x:c>
      <x:c r="G80" s="52" t="n">
        <x:f>IF(CHOOSE($D$4,ISNUMBER(G81),ISNUMBER(G82)),CHOOSE($D$4,G81,G82),"Missing input")</x:f>
        <x:v>120000</x:v>
      </x:c>
      <x:c r="H80" s="52" t="n">
        <x:f>IF(CHOOSE($D$4,ISNUMBER(H81),ISNUMBER(H82)),CHOOSE($D$4,H81,H82),"Missing input")</x:f>
        <x:v>300000</x:v>
      </x:c>
      <x:c r="I80" s="52" t="n">
        <x:f>IF(CHOOSE($D$4,ISNUMBER(I81),ISNUMBER(I82)),CHOOSE($D$4,I81,I82),"Missing input")</x:f>
        <x:v>650000</x:v>
      </x:c>
      <x:c r="J80" s="2"/>
      <x:c r="K80" s="25" t="str">
        <x:v>Shared capacity and backups; variable costs are separate.</x:v>
      </x:c>
      <x:c r="L80" s="2"/>
      <x:c r="M80" s="2"/>
      <x:c r="N80" s="2"/>
      <x:c r="O80" s="2"/>
      <x:c r="P80" s="2"/>
      <x:c r="Q80" s="2"/>
    </x:row>
    <x:row r="81" ht="23" customHeight="1">
      <x:c r="A81" s="2"/>
      <x:c r="B81" s="2"/>
      <x:c r="C81" s="2"/>
      <x:c r="D81" s="4" t="str">
        <x:v>Base</x:v>
      </x:c>
      <x:c r="E81" s="37" t="n">
        <x:v>25000</x:v>
      </x:c>
      <x:c r="F81" s="37" t="n">
        <x:v>50000</x:v>
      </x:c>
      <x:c r="G81" s="37" t="n">
        <x:v>120000</x:v>
      </x:c>
      <x:c r="H81" s="37" t="n">
        <x:v>300000</x:v>
      </x:c>
      <x:c r="I81" s="37" t="n">
        <x:v>650000</x:v>
      </x:c>
      <x:c r="J81" s="2"/>
      <x:c r="K81" s="2"/>
      <x:c r="L81" s="2"/>
      <x:c r="M81" s="2"/>
      <x:c r="N81" s="2"/>
      <x:c r="O81" s="2"/>
      <x:c r="P81" s="2"/>
      <x:c r="Q81" s="2"/>
    </x:row>
    <x:row r="82" ht="23" customHeight="1">
      <x:c r="A82" s="2"/>
      <x:c r="B82" s="2"/>
      <x:c r="C82" s="2"/>
      <x:c r="D82" s="4" t="str">
        <x:v>Downside</x:v>
      </x:c>
      <x:c r="E82" s="37" t="n">
        <x:v>25000</x:v>
      </x:c>
      <x:c r="F82" s="37" t="n">
        <x:v>50000</x:v>
      </x:c>
      <x:c r="G82" s="37" t="n">
        <x:v>120000</x:v>
      </x:c>
      <x:c r="H82" s="37" t="n">
        <x:v>300000</x:v>
      </x:c>
      <x:c r="I82" s="37" t="n">
        <x:v>650000</x:v>
      </x:c>
      <x:c r="J82" s="2"/>
      <x:c r="K82" s="2"/>
      <x:c r="L82" s="2"/>
      <x:c r="M82" s="2"/>
      <x:c r="N82" s="2"/>
      <x:c r="O82" s="2"/>
      <x:c r="P82" s="2"/>
      <x:c r="Q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3" customHeight="1">
      <x:c r="A84" s="2"/>
      <x:c r="B84" s="2"/>
      <x:c r="C84" s="18" t="str">
        <x:v>India custom projects / month</x:v>
      </x:c>
      <x:c r="D84" s="18" t="str">
        <x:v>Active</x:v>
      </x:c>
      <x:c r="E84" s="56" t="n">
        <x:f>IF(CHOOSE($D$4,ISNUMBER(E85),ISNUMBER(E86)),CHOOSE($D$4,E85,E86),"Missing input")</x:f>
        <x:v>1</x:v>
      </x:c>
      <x:c r="F84" s="56" t="n">
        <x:f>IF(CHOOSE($D$4,ISNUMBER(F85),ISNUMBER(F86)),CHOOSE($D$4,F85,F86),"Missing input")</x:f>
        <x:v>3</x:v>
      </x:c>
      <x:c r="G84" s="56" t="n">
        <x:f>IF(CHOOSE($D$4,ISNUMBER(G85),ISNUMBER(G86)),CHOOSE($D$4,G85,G86),"Missing input")</x:f>
        <x:v>5</x:v>
      </x:c>
      <x:c r="H84" s="56" t="n">
        <x:f>IF(CHOOSE($D$4,ISNUMBER(H85),ISNUMBER(H86)),CHOOSE($D$4,H85,H86),"Missing input")</x:f>
        <x:v>6</x:v>
      </x:c>
      <x:c r="I84" s="56" t="n">
        <x:f>IF(CHOOSE($D$4,ISNUMBER(I85),ISNUMBER(I86)),CHOOSE($D$4,I85,I86),"Missing input")</x:f>
        <x:v>8</x:v>
      </x:c>
      <x:c r="J84" s="2"/>
      <x:c r="K84" s="25" t="str">
        <x:v>Expected volume can be fractional; projects capped.</x:v>
      </x:c>
      <x:c r="L84" s="2"/>
      <x:c r="M84" s="2"/>
      <x:c r="N84" s="2"/>
      <x:c r="O84" s="2"/>
      <x:c r="P84" s="2"/>
      <x:c r="Q84" s="2"/>
    </x:row>
    <x:row r="85" ht="23" customHeight="1">
      <x:c r="A85" s="2"/>
      <x:c r="B85" s="2"/>
      <x:c r="C85" s="2"/>
      <x:c r="D85" s="4" t="str">
        <x:v>Base</x:v>
      </x:c>
      <x:c r="E85" s="46" t="n">
        <x:v>1</x:v>
      </x:c>
      <x:c r="F85" s="46" t="n">
        <x:v>3</x:v>
      </x:c>
      <x:c r="G85" s="46" t="n">
        <x:v>5</x:v>
      </x:c>
      <x:c r="H85" s="46" t="n">
        <x:v>6</x:v>
      </x:c>
      <x:c r="I85" s="46" t="n">
        <x:v>8</x:v>
      </x:c>
      <x:c r="J85" s="2"/>
      <x:c r="K85" s="2"/>
      <x:c r="L85" s="2"/>
      <x:c r="M85" s="2"/>
      <x:c r="N85" s="2"/>
      <x:c r="O85" s="2"/>
      <x:c r="P85" s="2"/>
      <x:c r="Q85" s="2"/>
    </x:row>
    <x:row r="86" ht="23" customHeight="1">
      <x:c r="A86" s="2"/>
      <x:c r="B86" s="2"/>
      <x:c r="C86" s="2"/>
      <x:c r="D86" s="4" t="str">
        <x:v>Downside</x:v>
      </x:c>
      <x:c r="E86" s="46" t="n">
        <x:v>0.5</x:v>
      </x:c>
      <x:c r="F86" s="46" t="n">
        <x:v>1.5</x:v>
      </x:c>
      <x:c r="G86" s="46" t="n">
        <x:v>2.5</x:v>
      </x:c>
      <x:c r="H86" s="46" t="n">
        <x:v>3</x:v>
      </x:c>
      <x:c r="I86" s="46" t="n">
        <x:v>4</x:v>
      </x:c>
      <x:c r="J86" s="2"/>
      <x:c r="K86" s="2"/>
      <x:c r="L86" s="2"/>
      <x:c r="M86" s="2"/>
      <x:c r="N86" s="2"/>
      <x:c r="O86" s="2"/>
      <x:c r="P86" s="2"/>
      <x:c r="Q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3" customHeight="1">
      <x:c r="A88" s="2"/>
      <x:c r="B88" s="2"/>
      <x:c r="C88" s="18" t="str">
        <x:v>UAE custom projects / month</x:v>
      </x:c>
      <x:c r="D88" s="18" t="str">
        <x:v>Active</x:v>
      </x:c>
      <x:c r="E88" s="56" t="n">
        <x:f>IF(CHOOSE($D$4,ISNUMBER(E89),ISNUMBER(E90)),CHOOSE($D$4,E89,E90),"Missing input")</x:f>
        <x:v>0.5</x:v>
      </x:c>
      <x:c r="F88" s="56" t="n">
        <x:f>IF(CHOOSE($D$4,ISNUMBER(F89),ISNUMBER(F90)),CHOOSE($D$4,F89,F90),"Missing input")</x:f>
        <x:v>1</x:v>
      </x:c>
      <x:c r="G88" s="56" t="n">
        <x:f>IF(CHOOSE($D$4,ISNUMBER(G89),ISNUMBER(G90)),CHOOSE($D$4,G89,G90),"Missing input")</x:f>
        <x:v>2</x:v>
      </x:c>
      <x:c r="H88" s="56" t="n">
        <x:f>IF(CHOOSE($D$4,ISNUMBER(H89),ISNUMBER(H90)),CHOOSE($D$4,H89,H90),"Missing input")</x:f>
        <x:v>3</x:v>
      </x:c>
      <x:c r="I88" s="56" t="n">
        <x:f>IF(CHOOSE($D$4,ISNUMBER(I89),ISNUMBER(I90)),CHOOSE($D$4,I89,I90),"Missing input")</x:f>
        <x:v>4</x:v>
      </x:c>
      <x:c r="J88" s="2"/>
      <x:c r="K88" s="25" t="str">
        <x:v>Separate services revenue; never included in software ARR.</x:v>
      </x:c>
      <x:c r="L88" s="2"/>
      <x:c r="M88" s="2"/>
      <x:c r="N88" s="2"/>
      <x:c r="O88" s="2"/>
      <x:c r="P88" s="2"/>
      <x:c r="Q88" s="2"/>
    </x:row>
    <x:row r="89" ht="23" customHeight="1">
      <x:c r="A89" s="2"/>
      <x:c r="B89" s="2"/>
      <x:c r="C89" s="2"/>
      <x:c r="D89" s="4" t="str">
        <x:v>Base</x:v>
      </x:c>
      <x:c r="E89" s="46" t="n">
        <x:v>0.5</x:v>
      </x:c>
      <x:c r="F89" s="46" t="n">
        <x:v>1</x:v>
      </x:c>
      <x:c r="G89" s="46" t="n">
        <x:v>2</x:v>
      </x:c>
      <x:c r="H89" s="46" t="n">
        <x:v>3</x:v>
      </x:c>
      <x:c r="I89" s="46" t="n">
        <x:v>4</x:v>
      </x:c>
      <x:c r="J89" s="2"/>
      <x:c r="K89" s="2"/>
      <x:c r="L89" s="2"/>
      <x:c r="M89" s="2"/>
      <x:c r="N89" s="2"/>
      <x:c r="O89" s="2"/>
      <x:c r="P89" s="2"/>
      <x:c r="Q89" s="2"/>
    </x:row>
    <x:row r="90" ht="23" customHeight="1">
      <x:c r="A90" s="2"/>
      <x:c r="B90" s="2"/>
      <x:c r="C90" s="2"/>
      <x:c r="D90" s="4" t="str">
        <x:v>Downside</x:v>
      </x:c>
      <x:c r="E90" s="46" t="n">
        <x:v>0.25</x:v>
      </x:c>
      <x:c r="F90" s="46" t="n">
        <x:v>0.5</x:v>
      </x:c>
      <x:c r="G90" s="46" t="n">
        <x:v>1</x:v>
      </x:c>
      <x:c r="H90" s="46" t="n">
        <x:v>1.5</x:v>
      </x:c>
      <x:c r="I90" s="46" t="n">
        <x:v>2</x:v>
      </x:c>
      <x:c r="J90" s="2"/>
      <x:c r="K90" s="2"/>
      <x:c r="L90" s="2"/>
      <x:c r="M90" s="2"/>
      <x:c r="N90" s="2"/>
      <x:c r="O90" s="2"/>
      <x:c r="P90" s="2"/>
      <x:c r="Q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3" customHeight="1">
      <x:c r="A92" s="2"/>
      <x:c r="B92" s="2"/>
      <x:c r="C92" s="18" t="str">
        <x:v>Custom services gross margin</x:v>
      </x:c>
      <x:c r="D92" s="18" t="str">
        <x:v>Active</x:v>
      </x:c>
      <x:c r="E92" s="54" t="n">
        <x:f>IF(CHOOSE($D$4,ISNUMBER(E93),ISNUMBER(E94)),CHOOSE($D$4,E93,E94),"Missing input")</x:f>
        <x:v>0.45</x:v>
      </x:c>
      <x:c r="F92" s="54" t="n">
        <x:f>IF(CHOOSE($D$4,ISNUMBER(F93),ISNUMBER(F94)),CHOOSE($D$4,F93,F94),"Missing input")</x:f>
        <x:v>0.45</x:v>
      </x:c>
      <x:c r="G92" s="54" t="n">
        <x:f>IF(CHOOSE($D$4,ISNUMBER(G93),ISNUMBER(G94)),CHOOSE($D$4,G93,G94),"Missing input")</x:f>
        <x:v>0.45</x:v>
      </x:c>
      <x:c r="H92" s="54" t="n">
        <x:f>IF(CHOOSE($D$4,ISNUMBER(H93),ISNUMBER(H94)),CHOOSE($D$4,H93,H94),"Missing input")</x:f>
        <x:v>0.45</x:v>
      </x:c>
      <x:c r="I92" s="54" t="n">
        <x:f>IF(CHOOSE($D$4,ISNUMBER(I93),ISNUMBER(I94)),CHOOSE($D$4,I93,I94),"Missing input")</x:f>
        <x:v>0.45</x:v>
      </x:c>
      <x:c r="J92" s="2"/>
      <x:c r="K92" s="25" t="str">
        <x:v>Fully costed delivery, including design and contractor labor.</x:v>
      </x:c>
      <x:c r="L92" s="2"/>
      <x:c r="M92" s="2"/>
      <x:c r="N92" s="2"/>
      <x:c r="O92" s="2"/>
      <x:c r="P92" s="2"/>
      <x:c r="Q92" s="2"/>
    </x:row>
    <x:row r="93" ht="23" customHeight="1">
      <x:c r="A93" s="2"/>
      <x:c r="B93" s="2"/>
      <x:c r="C93" s="2"/>
      <x:c r="D93" s="4" t="str">
        <x:v>Base</x:v>
      </x:c>
      <x:c r="E93" s="40" t="n">
        <x:v>0.45</x:v>
      </x:c>
      <x:c r="F93" s="40" t="n">
        <x:v>0.45</x:v>
      </x:c>
      <x:c r="G93" s="40" t="n">
        <x:v>0.45</x:v>
      </x:c>
      <x:c r="H93" s="40" t="n">
        <x:v>0.45</x:v>
      </x:c>
      <x:c r="I93" s="40" t="n">
        <x:v>0.45</x:v>
      </x:c>
      <x:c r="J93" s="2"/>
      <x:c r="K93" s="2"/>
      <x:c r="L93" s="2"/>
      <x:c r="M93" s="2"/>
      <x:c r="N93" s="2"/>
      <x:c r="O93" s="2"/>
      <x:c r="P93" s="2"/>
      <x:c r="Q93" s="2"/>
    </x:row>
    <x:row r="94" ht="23" customHeight="1">
      <x:c r="A94" s="2"/>
      <x:c r="B94" s="2"/>
      <x:c r="C94" s="2"/>
      <x:c r="D94" s="4" t="str">
        <x:v>Downside</x:v>
      </x:c>
      <x:c r="E94" s="40" t="n">
        <x:v>0.3</x:v>
      </x:c>
      <x:c r="F94" s="40" t="n">
        <x:v>0.3</x:v>
      </x:c>
      <x:c r="G94" s="40" t="n">
        <x:v>0.3</x:v>
      </x:c>
      <x:c r="H94" s="40" t="n">
        <x:v>0.3</x:v>
      </x:c>
      <x:c r="I94" s="40" t="n">
        <x:v>0.3</x:v>
      </x:c>
      <x:c r="J94" s="2"/>
      <x:c r="K94" s="2"/>
      <x:c r="L94" s="2"/>
      <x:c r="M94" s="2"/>
      <x:c r="N94" s="2"/>
      <x:c r="O94" s="2"/>
      <x:c r="P94" s="2"/>
      <x:c r="Q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3" customHeight="1">
      <x:c r="A96" s="2"/>
      <x:c r="B96" s="2"/>
      <x:c r="C96" s="18" t="str">
        <x:v>India custom project value (INR)</x:v>
      </x:c>
      <x:c r="D96" s="18" t="str">
        <x:v>Active</x:v>
      </x:c>
      <x:c r="E96" s="52" t="n">
        <x:f>IF(CHOOSE($D$4,ISNUMBER(E97),ISNUMBER(E98)),CHOOSE($D$4,E97,E98),"Missing input")</x:f>
        <x:v>49999</x:v>
      </x:c>
      <x:c r="F96" s="52" t="n">
        <x:f>IF(CHOOSE($D$4,ISNUMBER(F97),ISNUMBER(F98)),CHOOSE($D$4,F97,F98),"Missing input")</x:f>
        <x:v>49999</x:v>
      </x:c>
      <x:c r="G96" s="52" t="n">
        <x:f>IF(CHOOSE($D$4,ISNUMBER(G97),ISNUMBER(G98)),CHOOSE($D$4,G97,G98),"Missing input")</x:f>
        <x:v>49999</x:v>
      </x:c>
      <x:c r="H96" s="52" t="n">
        <x:f>IF(CHOOSE($D$4,ISNUMBER(H97),ISNUMBER(H98)),CHOOSE($D$4,H97,H98),"Missing input")</x:f>
        <x:v>49999</x:v>
      </x:c>
      <x:c r="I96" s="52" t="n">
        <x:f>IF(CHOOSE($D$4,ISNUMBER(I97),ISNUMBER(I98)),CHOOSE($D$4,I97,I98),"Missing input")</x:f>
        <x:v>49999</x:v>
      </x:c>
      <x:c r="J96" s="2"/>
      <x:c r="K96" s="25" t="str">
        <x:v>Illustrative ordering project; actual scope and offer differ.</x:v>
      </x:c>
      <x:c r="L96" s="2"/>
      <x:c r="M96" s="2"/>
      <x:c r="N96" s="2"/>
      <x:c r="O96" s="2"/>
      <x:c r="P96" s="2"/>
      <x:c r="Q96" s="2"/>
    </x:row>
    <x:row r="97" ht="23" customHeight="1">
      <x:c r="A97" s="2"/>
      <x:c r="B97" s="2"/>
      <x:c r="C97" s="2"/>
      <x:c r="D97" s="4" t="str">
        <x:v>Base</x:v>
      </x:c>
      <x:c r="E97" s="37" t="n">
        <x:v>49999</x:v>
      </x:c>
      <x:c r="F97" s="37" t="n">
        <x:v>49999</x:v>
      </x:c>
      <x:c r="G97" s="37" t="n">
        <x:v>49999</x:v>
      </x:c>
      <x:c r="H97" s="37" t="n">
        <x:v>49999</x:v>
      </x:c>
      <x:c r="I97" s="37" t="n">
        <x:v>49999</x:v>
      </x:c>
      <x:c r="J97" s="2"/>
      <x:c r="K97" s="2"/>
      <x:c r="L97" s="2"/>
      <x:c r="M97" s="2"/>
      <x:c r="N97" s="2"/>
      <x:c r="O97" s="2"/>
      <x:c r="P97" s="2"/>
      <x:c r="Q97" s="2"/>
    </x:row>
    <x:row r="98" ht="23" customHeight="1">
      <x:c r="A98" s="2"/>
      <x:c r="B98" s="2"/>
      <x:c r="C98" s="2"/>
      <x:c r="D98" s="4" t="str">
        <x:v>Downside</x:v>
      </x:c>
      <x:c r="E98" s="37" t="n">
        <x:v>49999</x:v>
      </x:c>
      <x:c r="F98" s="37" t="n">
        <x:v>49999</x:v>
      </x:c>
      <x:c r="G98" s="37" t="n">
        <x:v>49999</x:v>
      </x:c>
      <x:c r="H98" s="37" t="n">
        <x:v>49999</x:v>
      </x:c>
      <x:c r="I98" s="37" t="n">
        <x:v>49999</x:v>
      </x:c>
      <x:c r="J98" s="2"/>
      <x:c r="K98" s="2"/>
      <x:c r="L98" s="2"/>
      <x:c r="M98" s="2"/>
      <x:c r="N98" s="2"/>
      <x:c r="O98" s="2"/>
      <x:c r="P98" s="2"/>
      <x:c r="Q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3" customHeight="1">
      <x:c r="A100" s="2"/>
      <x:c r="B100" s="2"/>
      <x:c r="C100" s="18" t="str">
        <x:v>UAE custom project value (AED)</x:v>
      </x:c>
      <x:c r="D100" s="18" t="str">
        <x:v>Active</x:v>
      </x:c>
      <x:c r="E100" s="52" t="n">
        <x:f>IF(CHOOSE($D$4,ISNUMBER(E101),ISNUMBER(E102)),CHOOSE($D$4,E101,E102),"Missing input")</x:f>
        <x:v>4999</x:v>
      </x:c>
      <x:c r="F100" s="52" t="n">
        <x:f>IF(CHOOSE($D$4,ISNUMBER(F101),ISNUMBER(F102)),CHOOSE($D$4,F101,F102),"Missing input")</x:f>
        <x:v>4999</x:v>
      </x:c>
      <x:c r="G100" s="52" t="n">
        <x:f>IF(CHOOSE($D$4,ISNUMBER(G101),ISNUMBER(G102)),CHOOSE($D$4,G101,G102),"Missing input")</x:f>
        <x:v>4999</x:v>
      </x:c>
      <x:c r="H100" s="52" t="n">
        <x:f>IF(CHOOSE($D$4,ISNUMBER(H101),ISNUMBER(H102)),CHOOSE($D$4,H101,H102),"Missing input")</x:f>
        <x:v>4999</x:v>
      </x:c>
      <x:c r="I100" s="52" t="n">
        <x:f>IF(CHOOSE($D$4,ISNUMBER(I101),ISNUMBER(I102)),CHOOSE($D$4,I101,I102),"Missing input")</x:f>
        <x:v>4999</x:v>
      </x:c>
      <x:c r="J100" s="2"/>
      <x:c r="K100" s="25" t="str">
        <x:v>Regular ordering project before local tax.</x:v>
      </x:c>
      <x:c r="L100" s="2"/>
      <x:c r="M100" s="2"/>
      <x:c r="N100" s="2"/>
      <x:c r="O100" s="2"/>
      <x:c r="P100" s="2"/>
      <x:c r="Q100" s="2"/>
    </x:row>
    <x:row r="101" ht="23" customHeight="1">
      <x:c r="A101" s="2"/>
      <x:c r="B101" s="2"/>
      <x:c r="C101" s="2"/>
      <x:c r="D101" s="4" t="str">
        <x:v>Base</x:v>
      </x:c>
      <x:c r="E101" s="37" t="n">
        <x:v>4999</x:v>
      </x:c>
      <x:c r="F101" s="37" t="n">
        <x:v>4999</x:v>
      </x:c>
      <x:c r="G101" s="37" t="n">
        <x:v>4999</x:v>
      </x:c>
      <x:c r="H101" s="37" t="n">
        <x:v>4999</x:v>
      </x:c>
      <x:c r="I101" s="37" t="n">
        <x:v>4999</x:v>
      </x:c>
      <x:c r="J101" s="2"/>
      <x:c r="K101" s="2"/>
      <x:c r="L101" s="2"/>
      <x:c r="M101" s="2"/>
      <x:c r="N101" s="2"/>
      <x:c r="O101" s="2"/>
      <x:c r="P101" s="2"/>
      <x:c r="Q101" s="2"/>
    </x:row>
    <x:row r="102" ht="23" customHeight="1">
      <x:c r="A102" s="2"/>
      <x:c r="B102" s="2"/>
      <x:c r="C102" s="2"/>
      <x:c r="D102" s="4" t="str">
        <x:v>Downside</x:v>
      </x:c>
      <x:c r="E102" s="37" t="n">
        <x:v>4999</x:v>
      </x:c>
      <x:c r="F102" s="37" t="n">
        <x:v>4999</x:v>
      </x:c>
      <x:c r="G102" s="37" t="n">
        <x:v>4999</x:v>
      </x:c>
      <x:c r="H102" s="37" t="n">
        <x:v>4999</x:v>
      </x:c>
      <x:c r="I102" s="37" t="n">
        <x:v>4999</x:v>
      </x:c>
      <x:c r="J102" s="2"/>
      <x:c r="K102" s="2"/>
      <x:c r="L102" s="2"/>
      <x:c r="M102" s="2"/>
      <x:c r="N102" s="2"/>
      <x:c r="O102" s="2"/>
      <x:c r="P102" s="2"/>
      <x:c r="Q102" s="2"/>
    </x:row>
    <x:row r="103" ht="23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3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3" customHeight="1">
      <x:c r="A105" s="2"/>
      <x:c r="B105" s="2"/>
      <x:c r="C105" s="20" t="str">
        <x:v>Sources and scope</x:v>
      </x:c>
      <x:c r="D105" s="21"/>
      <x:c r="E105" s="21"/>
      <x:c r="F105" s="21"/>
      <x:c r="G105" s="21"/>
      <x:c r="H105" s="21"/>
      <x:c r="I105" s="21"/>
      <x:c r="J105" s="21"/>
      <x:c r="K105" s="21"/>
      <x:c r="L105" s="2"/>
      <x:c r="M105" s="2"/>
      <x:c r="N105" s="2"/>
      <x:c r="O105" s="2"/>
      <x:c r="P105" s="2"/>
      <x:c r="Q105" s="2"/>
    </x:row>
    <x:row r="106" ht="23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62" customHeight="1">
      <x:c r="A107" s="2"/>
      <x:c r="B107" s="2"/>
      <x:c r="C107" s="4" t="str">
        <x:v>Price proposal</x:v>
      </x:c>
      <x:c r="D107" s="2"/>
      <x:c r="E107" s="2"/>
      <x:c r="F107" s="2"/>
      <x:c r="G107" s="2"/>
      <x:c r="H107" s="2"/>
      <x:c r="I107" s="2"/>
      <x:c r="J107" s="2"/>
      <x:c r="K107" s="57" t="str">
        <x:v>2UP proposed pricing, reviewed 4 Oct 2026. https://two-up-pricing.saurabh590697.chatgpt.site</x:v>
      </x:c>
      <x:c r="L107" s="2"/>
      <x:c r="M107" s="2"/>
      <x:c r="N107" s="2"/>
      <x:c r="O107" s="2"/>
      <x:c r="P107" s="2"/>
      <x:c r="Q107" s="2"/>
    </x:row>
    <x:row r="108" ht="62" customHeight="1">
      <x:c r="A108" s="2"/>
      <x:c r="B108" s="2"/>
      <x:c r="C108" s="4" t="str">
        <x:v>Operating inputs</x:v>
      </x:c>
      <x:c r="D108" s="2"/>
      <x:c r="E108" s="2"/>
      <x:c r="F108" s="2"/>
      <x:c r="G108" s="2"/>
      <x:c r="H108" s="2"/>
      <x:c r="I108" s="2"/>
      <x:c r="J108" s="2"/>
      <x:c r="K108" s="57" t="str">
        <x:v>All volumes, cost rates, churn, cash and hiring are editable planning assumptions. No actual company financials supplied.</x:v>
      </x:c>
      <x:c r="L108" s="2"/>
      <x:c r="M108" s="2"/>
      <x:c r="N108" s="2"/>
      <x:c r="O108" s="2"/>
      <x:c r="P108" s="2"/>
      <x:c r="Q108" s="2"/>
    </x:row>
    <x:row r="109" ht="62" customHeight="1">
      <x:c r="A109" s="2"/>
      <x:c r="B109" s="2"/>
      <x:c r="C109" s="4" t="str">
        <x:v>Valuation method</x:v>
      </x:c>
      <x:c r="D109" s="2"/>
      <x:c r="E109" s="2"/>
      <x:c r="F109" s="2"/>
      <x:c r="G109" s="2"/>
      <x:c r="H109" s="2"/>
      <x:c r="I109" s="2"/>
      <x:c r="J109" s="2"/>
      <x:c r="K109" s="57" t="str">
        <x:v>SaaS Capital, 2026 update. https://www.saas-capital.com/research/whats-your-saas-company-worth/</x:v>
      </x:c>
      <x:c r="L109" s="2"/>
      <x:c r="M109" s="2"/>
      <x:c r="N109" s="2"/>
      <x:c r="O109" s="2"/>
      <x:c r="P109" s="2"/>
      <x:c r="Q109" s="2"/>
    </x:row>
    <x:row r="110" ht="62" customHeight="1">
      <x:c r="A110" s="2"/>
      <x:c r="B110" s="2"/>
      <x:c r="C110" s="4" t="str">
        <x:v>Comparable scope</x:v>
      </x:c>
      <x:c r="D110" s="2"/>
      <x:c r="E110" s="2"/>
      <x:c r="F110" s="2"/>
      <x:c r="G110" s="2"/>
      <x:c r="H110" s="2"/>
      <x:c r="I110" s="2"/>
      <x:c r="J110" s="2"/>
      <x:c r="K110" s="57" t="str">
        <x:v>SaaS Capital Index, 30 Sep 2026. Excludes customers with annual revenue below $500. Index uses equity market cap, not EV. https://www.saas-capital.com/the-saas-capital-index/</x:v>
      </x:c>
      <x:c r="L110" s="2"/>
      <x:c r="M110" s="2"/>
      <x:c r="N110" s="2"/>
      <x:c r="O110" s="2"/>
      <x:c r="P110" s="2"/>
      <x:c r="Q110" s="2"/>
    </x:row>
    <x:row r="111" ht="62" customHeight="1">
      <x:c r="A111" s="2"/>
      <x:c r="B111" s="2"/>
      <x:c r="C111" s="4" t="str">
        <x:v>Retention context</x:v>
      </x:c>
      <x:c r="D111" s="2"/>
      <x:c r="E111" s="2"/>
      <x:c r="F111" s="2"/>
      <x:c r="G111" s="2"/>
      <x:c r="H111" s="2"/>
      <x:c r="I111" s="2"/>
      <x:c r="J111" s="2"/>
      <x:c r="K111" s="57" t="str">
        <x:v>SaaS Capital, 24 Apr 2026; established $3M-$20M ARR bootstrapped firms. https://www.saas-capital.com/blog-posts/benchmarking-metrics-for-bootstrapped-saas-companies/</x:v>
      </x:c>
      <x:c r="L111" s="2"/>
      <x:c r="M111" s="2"/>
      <x:c r="N111" s="2"/>
      <x:c r="O111" s="2"/>
      <x:c r="P111" s="2"/>
      <x:c r="Q111" s="2"/>
    </x:row>
    <x:row r="112" ht="62" customHeight="1">
      <x:c r="A112" s="2"/>
      <x:c r="B112" s="2"/>
      <x:c r="C112" s="4" t="str">
        <x:v>Financing education</x:v>
      </x:c>
      <x:c r="D112" s="2"/>
      <x:c r="E112" s="2"/>
      <x:c r="F112" s="2"/>
      <x:c r="G112" s="2"/>
      <x:c r="H112" s="2"/>
      <x:c r="I112" s="2"/>
      <x:c r="J112" s="2"/>
      <x:c r="K112" s="57" t="str">
        <x:v>YC post-money SAFE guidance; not a form recommendation for India/UAE. https://www.ycombinator.com/safe</x:v>
      </x:c>
      <x:c r="L112" s="2"/>
      <x:c r="M112" s="2"/>
      <x:c r="N112" s="2"/>
      <x:c r="O112" s="2"/>
      <x:c r="P112" s="2"/>
      <x:c r="Q112" s="2"/>
    </x:row>
    <x:row r="113" ht="62" customHeight="1">
      <x:c r="A113" s="2"/>
      <x:c r="B113" s="2"/>
      <x:c r="C113" s="4" t="str">
        <x:v>Cash model scope</x:v>
      </x:c>
      <x:c r="D113" s="2"/>
      <x:c r="E113" s="2"/>
      <x:c r="F113" s="2"/>
      <x:c r="G113" s="2"/>
      <x:c r="H113" s="2"/>
      <x:c r="I113" s="2"/>
      <x:c r="J113" s="2"/>
      <x:c r="K113" s="57" t="str">
        <x:v>Monthly cash collection equals recognized net revenue. Introductory credits, prepaid cash benefit, AR/AP, bad debt, tax, debt, interest and D&amp;A are excluded. Corporate profit is not calculated.</x:v>
      </x:c>
      <x:c r="L113" s="2"/>
      <x:c r="M113" s="2"/>
      <x:c r="N113" s="2"/>
      <x:c r="O113" s="2"/>
      <x:c r="P113" s="2"/>
      <x:c r="Q113" s="2"/>
    </x:row>
    <x:row r="114" ht="62" customHeight="1">
      <x:c r="A114" s="2"/>
      <x:c r="B114" s="2"/>
      <x:c r="C114" s="4" t="str">
        <x:v>FX and rounding</x:v>
      </x:c>
      <x:c r="D114" s="2"/>
      <x:c r="E114" s="2"/>
      <x:c r="F114" s="2"/>
      <x:c r="G114" s="2"/>
      <x:c r="H114" s="2"/>
      <x:c r="I114" s="2"/>
      <x:c r="J114" s="2"/>
      <x:c r="K114" s="57" t="str">
        <x:v>INR/USD 90 and AED/USD 3.6725 are planning conversion inputs. Not live exchange quotes. Fractional outlet counts represent expected values.</x:v>
      </x:c>
      <x:c r="L114" s="2"/>
      <x:c r="M114" s="2"/>
      <x:c r="N114" s="2"/>
      <x:c r="O114" s="2"/>
      <x:c r="P114" s="2"/>
      <x:c r="Q114" s="2"/>
    </x:row>
    <x:row r="115" ht="62" customHeight="1">
      <x:c r="A115" s="2"/>
      <x:c r="B115" s="2"/>
      <x:c r="C115" s="4" t="str">
        <x:v>Dilution examples</x:v>
      </x:c>
      <x:c r="D115" s="2"/>
      <x:c r="E115" s="2"/>
      <x:c r="F115" s="2"/>
      <x:c r="G115" s="2"/>
      <x:c r="H115" s="2"/>
      <x:c r="I115" s="2"/>
      <x:c r="J115" s="2"/>
      <x:c r="K115" s="57" t="str">
        <x:v>Priced rounds without SAFEs, secondary sales or pro rata reinvestment. Founder ownership is combined; initial 10% pool and top-ups are assumed.</x:v>
      </x:c>
      <x:c r="L115" s="2"/>
      <x:c r="M115" s="2"/>
      <x:c r="N115" s="2"/>
      <x:c r="O115" s="2"/>
      <x:c r="P115" s="2"/>
      <x:c r="Q115" s="2"/>
    </x:row>
    <x:row r="116" ht="23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3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3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3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3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3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3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</x:sheetData>
  <x:conditionalFormatting sqref="E36:I36">
    <x:cfRule type="containsText" dxfId="0" priority="1" operator="containsText" text="Missing input"/>
  </x:conditionalFormatting>
  <x:conditionalFormatting sqref="E40:I40">
    <x:cfRule type="containsText" dxfId="1" priority="2" operator="containsText" text="Missing input"/>
  </x:conditionalFormatting>
  <x:conditionalFormatting sqref="E44:I44">
    <x:cfRule type="containsText" dxfId="2" priority="3" operator="containsText" text="Missing input"/>
  </x:conditionalFormatting>
  <x:conditionalFormatting sqref="E48:I48">
    <x:cfRule type="containsText" dxfId="3" priority="4" operator="containsText" text="Missing input"/>
  </x:conditionalFormatting>
  <x:conditionalFormatting sqref="E52:I52">
    <x:cfRule type="containsText" dxfId="4" priority="5" operator="containsText" text="Missing input"/>
  </x:conditionalFormatting>
  <x:conditionalFormatting sqref="E56:I56">
    <x:cfRule type="containsText" dxfId="5" priority="6" operator="containsText" text="Missing input"/>
  </x:conditionalFormatting>
  <x:conditionalFormatting sqref="E60:I60">
    <x:cfRule type="containsText" dxfId="6" priority="7" operator="containsText" text="Missing input"/>
  </x:conditionalFormatting>
  <x:conditionalFormatting sqref="E64:I64">
    <x:cfRule type="containsText" dxfId="7" priority="8" operator="containsText" text="Missing input"/>
  </x:conditionalFormatting>
  <x:conditionalFormatting sqref="E68:I68">
    <x:cfRule type="containsText" dxfId="8" priority="9" operator="containsText" text="Missing input"/>
  </x:conditionalFormatting>
  <x:conditionalFormatting sqref="E72:I72">
    <x:cfRule type="containsText" dxfId="9" priority="10" operator="containsText" text="Missing input"/>
  </x:conditionalFormatting>
  <x:conditionalFormatting sqref="E76:I76">
    <x:cfRule type="containsText" dxfId="10" priority="11" operator="containsText" text="Missing input"/>
  </x:conditionalFormatting>
  <x:conditionalFormatting sqref="E80:I80">
    <x:cfRule type="containsText" dxfId="11" priority="12" operator="containsText" text="Missing input"/>
  </x:conditionalFormatting>
  <x:conditionalFormatting sqref="E84:I84">
    <x:cfRule type="containsText" dxfId="12" priority="13" operator="containsText" text="Missing input"/>
  </x:conditionalFormatting>
  <x:conditionalFormatting sqref="E88:I88">
    <x:cfRule type="containsText" dxfId="13" priority="14" operator="containsText" text="Missing input"/>
  </x:conditionalFormatting>
  <x:conditionalFormatting sqref="E92:I92">
    <x:cfRule type="containsText" dxfId="14" priority="15" operator="containsText" text="Missing input"/>
  </x:conditionalFormatting>
  <x:conditionalFormatting sqref="E96:I96">
    <x:cfRule type="containsText" dxfId="15" priority="16" operator="containsText" text="Missing input"/>
  </x:conditionalFormatting>
  <x:conditionalFormatting sqref="E100:I100">
    <x:cfRule type="containsText" dxfId="16" priority="17" operator="containsText" text="Missing input"/>
  </x:conditionalFormatting>
  <x:dataValidations count="1">
    <x:dataValidation type="whole" operator="between" sqref="D4">
      <x:formula1>1</x:formula1>
      <x:formula2>2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4" ySplit="6" topLeftCell="E7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18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  <x:col min="24" max="24" width="17" hidden="0" customWidth="1"/>
    <x:col min="25" max="25" width="17" hidden="0" customWidth="1"/>
    <x:col min="26" max="26" width="17" hidden="0" customWidth="1"/>
    <x:col min="27" max="27" width="17" hidden="0" customWidth="1"/>
    <x:col min="28" max="28" width="17" hidden="0" customWidth="1"/>
    <x:col min="29" max="29" width="17" hidden="0" customWidth="1"/>
    <x:col min="30" max="30" width="17" hidden="0" customWidth="1"/>
    <x:col min="31" max="31" width="17" hidden="0" customWidth="1"/>
    <x:col min="32" max="32" width="17" hidden="0" customWidth="1"/>
    <x:col min="33" max="33" width="17" hidden="0" customWidth="1"/>
    <x:col min="34" max="34" width="17" hidden="0" customWidth="1"/>
    <x:col min="35" max="35" width="17" hidden="0" customWidth="1"/>
    <x:col min="36" max="36" width="17" hidden="0" customWidth="1"/>
    <x:col min="37" max="37" width="17" hidden="0" customWidth="1"/>
    <x:col min="38" max="38" width="17" hidden="0" customWidth="1"/>
    <x:col min="39" max="39" width="17" hidden="0" customWidth="1"/>
    <x:col min="40" max="40" width="17" hidden="0" customWidth="1"/>
    <x:col min="41" max="41" width="17" hidden="0" customWidth="1"/>
    <x:col min="42" max="42" width="17" hidden="0" customWidth="1"/>
    <x:col min="43" max="43" width="17" hidden="0" customWidth="1"/>
    <x:col min="44" max="44" width="17" hidden="0" customWidth="1"/>
    <x:col min="45" max="45" width="17" hidden="0" customWidth="1"/>
    <x:col min="46" max="46" width="17" hidden="0" customWidth="1"/>
    <x:col min="47" max="47" width="17" hidden="0" customWidth="1"/>
    <x:col min="48" max="48" width="17" hidden="0" customWidth="1"/>
    <x:col min="49" max="49" width="17" hidden="0" customWidth="1"/>
    <x:col min="50" max="50" width="17" hidden="0" customWidth="1"/>
    <x:col min="51" max="51" width="17" hidden="0" customWidth="1"/>
    <x:col min="52" max="52" width="17" hidden="0" customWidth="1"/>
    <x:col min="53" max="53" width="17" hidden="0" customWidth="1"/>
    <x:col min="54" max="54" width="17" hidden="0" customWidth="1"/>
    <x:col min="55" max="55" width="17" hidden="0" customWidth="1"/>
    <x:col min="56" max="56" width="17" hidden="0" customWidth="1"/>
    <x:col min="57" max="57" width="17" hidden="0" customWidth="1"/>
    <x:col min="58" max="58" width="17" hidden="0" customWidth="1"/>
    <x:col min="59" max="59" width="17" hidden="0" customWidth="1"/>
    <x:col min="60" max="60" width="17" hidden="0" customWidth="1"/>
    <x:col min="61" max="61" width="17" hidden="0" customWidth="1"/>
    <x:col min="62" max="62" width="17" hidden="0" customWidth="1"/>
    <x:col min="63" max="63" width="17" hidden="0" customWidth="1"/>
    <x:col min="64" max="64" width="17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  <x:c r="AP1" s="1"/>
      <x:c r="AQ1" s="1"/>
      <x:c r="AR1" s="1"/>
      <x:c r="AS1" s="1"/>
      <x:c r="AT1" s="1"/>
      <x:c r="AU1" s="1"/>
      <x:c r="AV1" s="1"/>
      <x:c r="AW1" s="1"/>
      <x:c r="AX1" s="1"/>
      <x:c r="AY1" s="1"/>
      <x:c r="AZ1" s="1"/>
      <x:c r="BA1" s="1"/>
      <x:c r="BB1" s="1"/>
      <x:c r="BC1" s="1"/>
      <x:c r="BD1" s="1"/>
      <x:c r="BE1" s="1"/>
      <x:c r="BF1" s="1"/>
      <x:c r="BG1" s="1"/>
      <x:c r="BH1" s="1"/>
      <x:c r="BI1" s="1"/>
      <x:c r="BJ1" s="1"/>
      <x:c r="BK1" s="1"/>
      <x:c r="BL1" s="1"/>
    </x:row>
    <x:row r="2" ht="23" customHeight="1">
      <x:c r="A2" s="2"/>
      <x:c r="B2" s="2"/>
      <x:c r="C2" s="12" t="str">
        <x:v>2UP monthly operating forecast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  <x:c r="AE2" s="1"/>
      <x:c r="AF2" s="1"/>
      <x:c r="AG2" s="1"/>
      <x:c r="AH2" s="1"/>
      <x:c r="AI2" s="1"/>
      <x:c r="AJ2" s="1"/>
      <x:c r="AK2" s="1"/>
      <x:c r="AL2" s="1"/>
      <x:c r="AM2" s="1"/>
      <x:c r="AN2" s="1"/>
      <x:c r="AO2" s="1"/>
      <x:c r="AP2" s="1"/>
      <x:c r="AQ2" s="1"/>
      <x:c r="AR2" s="1"/>
      <x:c r="AS2" s="1"/>
      <x:c r="AT2" s="1"/>
      <x:c r="AU2" s="1"/>
      <x:c r="AV2" s="1"/>
      <x:c r="AW2" s="1"/>
      <x:c r="AX2" s="1"/>
      <x:c r="AY2" s="1"/>
      <x:c r="AZ2" s="1"/>
      <x:c r="BA2" s="1"/>
      <x:c r="BB2" s="1"/>
      <x:c r="BC2" s="1"/>
      <x:c r="BD2" s="1"/>
      <x:c r="BE2" s="1"/>
      <x:c r="BF2" s="1"/>
      <x:c r="BG2" s="1"/>
      <x:c r="BH2" s="1"/>
      <x:c r="BI2" s="1"/>
      <x:c r="BJ2" s="1"/>
      <x:c r="BK2" s="1"/>
      <x:c r="BL2" s="1"/>
    </x:row>
    <x:row r="3" ht="23" customHeight="1">
      <x:c r="A3" s="2"/>
      <x:c r="B3" s="2"/>
      <x:c r="C3" s="4" t="str">
        <x:v>All amounts INR unless labelled. Expected outlet counts can be fractional.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  <x:c r="AI3" s="1"/>
      <x:c r="AJ3" s="1"/>
      <x:c r="AK3" s="1"/>
      <x:c r="AL3" s="1"/>
      <x:c r="AM3" s="1"/>
      <x:c r="AN3" s="1"/>
      <x:c r="AO3" s="1"/>
      <x:c r="AP3" s="1"/>
      <x:c r="AQ3" s="1"/>
      <x:c r="AR3" s="1"/>
      <x:c r="AS3" s="1"/>
      <x:c r="AT3" s="1"/>
      <x:c r="AU3" s="1"/>
      <x:c r="AV3" s="1"/>
      <x:c r="AW3" s="1"/>
      <x:c r="AX3" s="1"/>
      <x:c r="AY3" s="1"/>
      <x:c r="AZ3" s="1"/>
      <x:c r="BA3" s="1"/>
      <x:c r="BB3" s="1"/>
      <x:c r="BC3" s="1"/>
      <x:c r="BD3" s="1"/>
      <x:c r="BE3" s="1"/>
      <x:c r="BF3" s="1"/>
      <x:c r="BG3" s="1"/>
      <x:c r="BH3" s="1"/>
      <x:c r="BI3" s="1"/>
      <x:c r="BJ3" s="1"/>
      <x:c r="BK3" s="1"/>
      <x:c r="BL3" s="1"/>
    </x:row>
    <x:row r="4" ht="23" customHeight="1">
      <x:c r="A4" s="2"/>
      <x:c r="B4" s="2"/>
      <x:c r="C4" s="4" t="str">
        <x:v>Case selected:</x:v>
      </x:c>
      <x:c r="D4" s="8" t="str">
        <x:f>CHOOSE('Assumptions'!$D$4,"Base","Downside")</x:f>
        <x:v>Base</x:v>
      </x:c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  <x:c r="AC4" s="1"/>
      <x:c r="AD4" s="1"/>
      <x:c r="AE4" s="1"/>
      <x:c r="AF4" s="1"/>
      <x:c r="AG4" s="1"/>
      <x:c r="AH4" s="1"/>
      <x:c r="AI4" s="1"/>
      <x:c r="AJ4" s="1"/>
      <x:c r="AK4" s="1"/>
      <x:c r="AL4" s="1"/>
      <x:c r="AM4" s="1"/>
      <x:c r="AN4" s="1"/>
      <x:c r="AO4" s="1"/>
      <x:c r="AP4" s="1"/>
      <x:c r="AQ4" s="1"/>
      <x:c r="AR4" s="1"/>
      <x:c r="AS4" s="1"/>
      <x:c r="AT4" s="1"/>
      <x:c r="AU4" s="1"/>
      <x:c r="AV4" s="1"/>
      <x:c r="AW4" s="1"/>
      <x:c r="AX4" s="1"/>
      <x:c r="AY4" s="1"/>
      <x:c r="AZ4" s="1"/>
      <x:c r="BA4" s="1"/>
      <x:c r="BB4" s="1"/>
      <x:c r="BC4" s="1"/>
      <x:c r="BD4" s="1"/>
      <x:c r="BE4" s="1"/>
      <x:c r="BF4" s="1"/>
      <x:c r="BG4" s="1"/>
      <x:c r="BH4" s="1"/>
      <x:c r="BI4" s="1"/>
      <x:c r="BJ4" s="1"/>
      <x:c r="BK4" s="1"/>
      <x:c r="BL4" s="1"/>
    </x:row>
    <x:row r="5" ht="23" customHeight="1">
      <x:c r="A5" s="2"/>
      <x:c r="B5" s="2"/>
      <x:c r="C5" s="4" t="str">
        <x:v>Forecast year index</x:v>
      </x:c>
      <x:c r="D5" s="2"/>
      <x:c r="E5" s="101" t="n">
        <x:v>1</x:v>
      </x:c>
      <x:c r="F5" s="101" t="n">
        <x:v>1</x:v>
      </x:c>
      <x:c r="G5" s="101" t="n">
        <x:v>1</x:v>
      </x:c>
      <x:c r="H5" s="101" t="n">
        <x:v>1</x:v>
      </x:c>
      <x:c r="I5" s="101" t="n">
        <x:v>1</x:v>
      </x:c>
      <x:c r="J5" s="101" t="n">
        <x:v>1</x:v>
      </x:c>
      <x:c r="K5" s="101" t="n">
        <x:v>1</x:v>
      </x:c>
      <x:c r="L5" s="101" t="n">
        <x:v>1</x:v>
      </x:c>
      <x:c r="M5" s="101" t="n">
        <x:v>1</x:v>
      </x:c>
      <x:c r="N5" s="101" t="n">
        <x:v>1</x:v>
      </x:c>
      <x:c r="O5" s="101" t="n">
        <x:v>1</x:v>
      </x:c>
      <x:c r="P5" s="101" t="n">
        <x:v>1</x:v>
      </x:c>
      <x:c r="Q5" s="101" t="n">
        <x:v>2</x:v>
      </x:c>
      <x:c r="R5" s="102" t="n">
        <x:v>2</x:v>
      </x:c>
      <x:c r="S5" s="102" t="n">
        <x:v>2</x:v>
      </x:c>
      <x:c r="T5" s="102" t="n">
        <x:v>2</x:v>
      </x:c>
      <x:c r="U5" s="102" t="n">
        <x:v>2</x:v>
      </x:c>
      <x:c r="V5" s="102" t="n">
        <x:v>2</x:v>
      </x:c>
      <x:c r="W5" s="102" t="n">
        <x:v>2</x:v>
      </x:c>
      <x:c r="X5" s="102" t="n">
        <x:v>2</x:v>
      </x:c>
      <x:c r="Y5" s="102" t="n">
        <x:v>2</x:v>
      </x:c>
      <x:c r="Z5" s="102" t="n">
        <x:v>2</x:v>
      </x:c>
      <x:c r="AA5" s="102" t="n">
        <x:v>2</x:v>
      </x:c>
      <x:c r="AB5" s="102" t="n">
        <x:v>2</x:v>
      </x:c>
      <x:c r="AC5" s="102" t="n">
        <x:v>3</x:v>
      </x:c>
      <x:c r="AD5" s="102" t="n">
        <x:v>3</x:v>
      </x:c>
      <x:c r="AE5" s="102" t="n">
        <x:v>3</x:v>
      </x:c>
      <x:c r="AF5" s="102" t="n">
        <x:v>3</x:v>
      </x:c>
      <x:c r="AG5" s="102" t="n">
        <x:v>3</x:v>
      </x:c>
      <x:c r="AH5" s="102" t="n">
        <x:v>3</x:v>
      </x:c>
      <x:c r="AI5" s="102" t="n">
        <x:v>3</x:v>
      </x:c>
      <x:c r="AJ5" s="102" t="n">
        <x:v>3</x:v>
      </x:c>
      <x:c r="AK5" s="102" t="n">
        <x:v>3</x:v>
      </x:c>
      <x:c r="AL5" s="102" t="n">
        <x:v>3</x:v>
      </x:c>
      <x:c r="AM5" s="102" t="n">
        <x:v>3</x:v>
      </x:c>
      <x:c r="AN5" s="102" t="n">
        <x:v>3</x:v>
      </x:c>
      <x:c r="AO5" s="102" t="n">
        <x:v>4</x:v>
      </x:c>
      <x:c r="AP5" s="102" t="n">
        <x:v>4</x:v>
      </x:c>
      <x:c r="AQ5" s="102" t="n">
        <x:v>4</x:v>
      </x:c>
      <x:c r="AR5" s="102" t="n">
        <x:v>4</x:v>
      </x:c>
      <x:c r="AS5" s="102" t="n">
        <x:v>4</x:v>
      </x:c>
      <x:c r="AT5" s="102" t="n">
        <x:v>4</x:v>
      </x:c>
      <x:c r="AU5" s="102" t="n">
        <x:v>4</x:v>
      </x:c>
      <x:c r="AV5" s="102" t="n">
        <x:v>4</x:v>
      </x:c>
      <x:c r="AW5" s="102" t="n">
        <x:v>4</x:v>
      </x:c>
      <x:c r="AX5" s="102" t="n">
        <x:v>4</x:v>
      </x:c>
      <x:c r="AY5" s="102" t="n">
        <x:v>4</x:v>
      </x:c>
      <x:c r="AZ5" s="102" t="n">
        <x:v>4</x:v>
      </x:c>
      <x:c r="BA5" s="102" t="n">
        <x:v>5</x:v>
      </x:c>
      <x:c r="BB5" s="102" t="n">
        <x:v>5</x:v>
      </x:c>
      <x:c r="BC5" s="102" t="n">
        <x:v>5</x:v>
      </x:c>
      <x:c r="BD5" s="102" t="n">
        <x:v>5</x:v>
      </x:c>
      <x:c r="BE5" s="102" t="n">
        <x:v>5</x:v>
      </x:c>
      <x:c r="BF5" s="102" t="n">
        <x:v>5</x:v>
      </x:c>
      <x:c r="BG5" s="102" t="n">
        <x:v>5</x:v>
      </x:c>
      <x:c r="BH5" s="102" t="n">
        <x:v>5</x:v>
      </x:c>
      <x:c r="BI5" s="102" t="n">
        <x:v>5</x:v>
      </x:c>
      <x:c r="BJ5" s="102" t="n">
        <x:v>5</x:v>
      </x:c>
      <x:c r="BK5" s="102" t="n">
        <x:v>5</x:v>
      </x:c>
      <x:c r="BL5" s="102" t="n">
        <x:v>5</x:v>
      </x:c>
    </x:row>
    <x:row r="6" ht="27" customHeight="1">
      <x:c r="A6" s="2"/>
      <x:c r="B6" s="2"/>
      <x:c r="C6" s="4" t="str">
        <x:v>Month</x:v>
      </x:c>
      <x:c r="D6" s="2"/>
      <x:c r="E6" s="99" t="n">
        <x:f>EDATE('Assumptions'!$D$6,0)</x:f>
        <x:v>46327</x:v>
      </x:c>
      <x:c r="F6" s="99" t="n">
        <x:f>EDATE('Assumptions'!$D$6,1)</x:f>
        <x:v>46357</x:v>
      </x:c>
      <x:c r="G6" s="99" t="n">
        <x:f>EDATE('Assumptions'!$D$6,2)</x:f>
        <x:v>46388</x:v>
      </x:c>
      <x:c r="H6" s="99" t="n">
        <x:f>EDATE('Assumptions'!$D$6,3)</x:f>
        <x:v>46419</x:v>
      </x:c>
      <x:c r="I6" s="99" t="n">
        <x:f>EDATE('Assumptions'!$D$6,4)</x:f>
        <x:v>46447</x:v>
      </x:c>
      <x:c r="J6" s="99" t="n">
        <x:f>EDATE('Assumptions'!$D$6,5)</x:f>
        <x:v>46478</x:v>
      </x:c>
      <x:c r="K6" s="99" t="n">
        <x:f>EDATE('Assumptions'!$D$6,6)</x:f>
        <x:v>46508</x:v>
      </x:c>
      <x:c r="L6" s="99" t="n">
        <x:f>EDATE('Assumptions'!$D$6,7)</x:f>
        <x:v>46539</x:v>
      </x:c>
      <x:c r="M6" s="99" t="n">
        <x:f>EDATE('Assumptions'!$D$6,8)</x:f>
        <x:v>46569</x:v>
      </x:c>
      <x:c r="N6" s="99" t="n">
        <x:f>EDATE('Assumptions'!$D$6,9)</x:f>
        <x:v>46600</x:v>
      </x:c>
      <x:c r="O6" s="99" t="n">
        <x:f>EDATE('Assumptions'!$D$6,10)</x:f>
        <x:v>46631</x:v>
      </x:c>
      <x:c r="P6" s="99" t="n">
        <x:f>EDATE('Assumptions'!$D$6,11)</x:f>
        <x:v>46661</x:v>
      </x:c>
      <x:c r="Q6" s="99" t="n">
        <x:f>EDATE('Assumptions'!$D$6,12)</x:f>
        <x:v>46692</x:v>
      </x:c>
      <x:c r="R6" s="100" t="n">
        <x:f>EDATE('Assumptions'!$D$6,13)</x:f>
        <x:v>46722</x:v>
      </x:c>
      <x:c r="S6" s="100" t="n">
        <x:f>EDATE('Assumptions'!$D$6,14)</x:f>
        <x:v>46753</x:v>
      </x:c>
      <x:c r="T6" s="100" t="n">
        <x:f>EDATE('Assumptions'!$D$6,15)</x:f>
        <x:v>46784</x:v>
      </x:c>
      <x:c r="U6" s="100" t="n">
        <x:f>EDATE('Assumptions'!$D$6,16)</x:f>
        <x:v>46813</x:v>
      </x:c>
      <x:c r="V6" s="100" t="n">
        <x:f>EDATE('Assumptions'!$D$6,17)</x:f>
        <x:v>46844</x:v>
      </x:c>
      <x:c r="W6" s="100" t="n">
        <x:f>EDATE('Assumptions'!$D$6,18)</x:f>
        <x:v>46874</x:v>
      </x:c>
      <x:c r="X6" s="100" t="n">
        <x:f>EDATE('Assumptions'!$D$6,19)</x:f>
        <x:v>46905</x:v>
      </x:c>
      <x:c r="Y6" s="100" t="n">
        <x:f>EDATE('Assumptions'!$D$6,20)</x:f>
        <x:v>46935</x:v>
      </x:c>
      <x:c r="Z6" s="100" t="n">
        <x:f>EDATE('Assumptions'!$D$6,21)</x:f>
        <x:v>46966</x:v>
      </x:c>
      <x:c r="AA6" s="100" t="n">
        <x:f>EDATE('Assumptions'!$D$6,22)</x:f>
        <x:v>46997</x:v>
      </x:c>
      <x:c r="AB6" s="100" t="n">
        <x:f>EDATE('Assumptions'!$D$6,23)</x:f>
        <x:v>47027</x:v>
      </x:c>
      <x:c r="AC6" s="100" t="n">
        <x:f>EDATE('Assumptions'!$D$6,24)</x:f>
        <x:v>47058</x:v>
      </x:c>
      <x:c r="AD6" s="100" t="n">
        <x:f>EDATE('Assumptions'!$D$6,25)</x:f>
        <x:v>47088</x:v>
      </x:c>
      <x:c r="AE6" s="100" t="n">
        <x:f>EDATE('Assumptions'!$D$6,26)</x:f>
        <x:v>47119</x:v>
      </x:c>
      <x:c r="AF6" s="100" t="n">
        <x:f>EDATE('Assumptions'!$D$6,27)</x:f>
        <x:v>47150</x:v>
      </x:c>
      <x:c r="AG6" s="100" t="n">
        <x:f>EDATE('Assumptions'!$D$6,28)</x:f>
        <x:v>47178</x:v>
      </x:c>
      <x:c r="AH6" s="100" t="n">
        <x:f>EDATE('Assumptions'!$D$6,29)</x:f>
        <x:v>47209</x:v>
      </x:c>
      <x:c r="AI6" s="100" t="n">
        <x:f>EDATE('Assumptions'!$D$6,30)</x:f>
        <x:v>47239</x:v>
      </x:c>
      <x:c r="AJ6" s="100" t="n">
        <x:f>EDATE('Assumptions'!$D$6,31)</x:f>
        <x:v>47270</x:v>
      </x:c>
      <x:c r="AK6" s="100" t="n">
        <x:f>EDATE('Assumptions'!$D$6,32)</x:f>
        <x:v>47300</x:v>
      </x:c>
      <x:c r="AL6" s="100" t="n">
        <x:f>EDATE('Assumptions'!$D$6,33)</x:f>
        <x:v>47331</x:v>
      </x:c>
      <x:c r="AM6" s="100" t="n">
        <x:f>EDATE('Assumptions'!$D$6,34)</x:f>
        <x:v>47362</x:v>
      </x:c>
      <x:c r="AN6" s="100" t="n">
        <x:f>EDATE('Assumptions'!$D$6,35)</x:f>
        <x:v>47392</x:v>
      </x:c>
      <x:c r="AO6" s="100" t="n">
        <x:f>EDATE('Assumptions'!$D$6,36)</x:f>
        <x:v>47423</x:v>
      </x:c>
      <x:c r="AP6" s="100" t="n">
        <x:f>EDATE('Assumptions'!$D$6,37)</x:f>
        <x:v>47453</x:v>
      </x:c>
      <x:c r="AQ6" s="100" t="n">
        <x:f>EDATE('Assumptions'!$D$6,38)</x:f>
        <x:v>47484</x:v>
      </x:c>
      <x:c r="AR6" s="100" t="n">
        <x:f>EDATE('Assumptions'!$D$6,39)</x:f>
        <x:v>47515</x:v>
      </x:c>
      <x:c r="AS6" s="100" t="n">
        <x:f>EDATE('Assumptions'!$D$6,40)</x:f>
        <x:v>47543</x:v>
      </x:c>
      <x:c r="AT6" s="100" t="n">
        <x:f>EDATE('Assumptions'!$D$6,41)</x:f>
        <x:v>47574</x:v>
      </x:c>
      <x:c r="AU6" s="100" t="n">
        <x:f>EDATE('Assumptions'!$D$6,42)</x:f>
        <x:v>47604</x:v>
      </x:c>
      <x:c r="AV6" s="100" t="n">
        <x:f>EDATE('Assumptions'!$D$6,43)</x:f>
        <x:v>47635</x:v>
      </x:c>
      <x:c r="AW6" s="100" t="n">
        <x:f>EDATE('Assumptions'!$D$6,44)</x:f>
        <x:v>47665</x:v>
      </x:c>
      <x:c r="AX6" s="100" t="n">
        <x:f>EDATE('Assumptions'!$D$6,45)</x:f>
        <x:v>47696</x:v>
      </x:c>
      <x:c r="AY6" s="100" t="n">
        <x:f>EDATE('Assumptions'!$D$6,46)</x:f>
        <x:v>47727</x:v>
      </x:c>
      <x:c r="AZ6" s="100" t="n">
        <x:f>EDATE('Assumptions'!$D$6,47)</x:f>
        <x:v>47757</x:v>
      </x:c>
      <x:c r="BA6" s="100" t="n">
        <x:f>EDATE('Assumptions'!$D$6,48)</x:f>
        <x:v>47788</x:v>
      </x:c>
      <x:c r="BB6" s="100" t="n">
        <x:f>EDATE('Assumptions'!$D$6,49)</x:f>
        <x:v>47818</x:v>
      </x:c>
      <x:c r="BC6" s="100" t="n">
        <x:f>EDATE('Assumptions'!$D$6,50)</x:f>
        <x:v>47849</x:v>
      </x:c>
      <x:c r="BD6" s="100" t="n">
        <x:f>EDATE('Assumptions'!$D$6,51)</x:f>
        <x:v>47880</x:v>
      </x:c>
      <x:c r="BE6" s="100" t="n">
        <x:f>EDATE('Assumptions'!$D$6,52)</x:f>
        <x:v>47908</x:v>
      </x:c>
      <x:c r="BF6" s="100" t="n">
        <x:f>EDATE('Assumptions'!$D$6,53)</x:f>
        <x:v>47939</x:v>
      </x:c>
      <x:c r="BG6" s="100" t="n">
        <x:f>EDATE('Assumptions'!$D$6,54)</x:f>
        <x:v>47969</x:v>
      </x:c>
      <x:c r="BH6" s="100" t="n">
        <x:f>EDATE('Assumptions'!$D$6,55)</x:f>
        <x:v>48000</x:v>
      </x:c>
      <x:c r="BI6" s="100" t="n">
        <x:f>EDATE('Assumptions'!$D$6,56)</x:f>
        <x:v>48030</x:v>
      </x:c>
      <x:c r="BJ6" s="100" t="n">
        <x:f>EDATE('Assumptions'!$D$6,57)</x:f>
        <x:v>48061</x:v>
      </x:c>
      <x:c r="BK6" s="100" t="n">
        <x:f>EDATE('Assumptions'!$D$6,58)</x:f>
        <x:v>48092</x:v>
      </x:c>
      <x:c r="BL6" s="100" t="n">
        <x:f>EDATE('Assumptions'!$D$6,59)</x:f>
        <x:v>48122</x:v>
      </x:c>
    </x:row>
    <x:row r="7" ht="23" customHeight="1">
      <x:c r="A7" s="2"/>
      <x:c r="B7" s="2"/>
      <x:c r="C7" s="20" t="str">
        <x:v>Paid outlets and subscriptions</x:v>
      </x:c>
      <x:c r="D7" s="21"/>
      <x:c r="E7" s="21"/>
      <x:c r="F7" s="21"/>
      <x:c r="G7" s="21"/>
      <x:c r="H7" s="21"/>
      <x:c r="I7" s="21"/>
      <x:c r="J7" s="21"/>
      <x:c r="K7" s="21"/>
      <x:c r="L7" s="21"/>
      <x:c r="M7" s="21"/>
      <x:c r="N7" s="21"/>
      <x:c r="O7" s="21"/>
      <x:c r="P7" s="21"/>
      <x:c r="Q7" s="21"/>
      <x:c r="R7" s="62"/>
      <x:c r="S7" s="62"/>
      <x:c r="T7" s="62"/>
      <x:c r="U7" s="62"/>
      <x:c r="V7" s="62"/>
      <x:c r="W7" s="62"/>
      <x:c r="X7" s="62"/>
      <x:c r="Y7" s="62"/>
      <x:c r="Z7" s="62"/>
      <x:c r="AA7" s="62"/>
      <x:c r="AB7" s="62"/>
      <x:c r="AC7" s="62"/>
      <x:c r="AD7" s="62"/>
      <x:c r="AE7" s="62"/>
      <x:c r="AF7" s="62"/>
      <x:c r="AG7" s="62"/>
      <x:c r="AH7" s="62"/>
      <x:c r="AI7" s="62"/>
      <x:c r="AJ7" s="62"/>
      <x:c r="AK7" s="62"/>
      <x:c r="AL7" s="62"/>
      <x:c r="AM7" s="62"/>
      <x:c r="AN7" s="62"/>
      <x:c r="AO7" s="62"/>
      <x:c r="AP7" s="62"/>
      <x:c r="AQ7" s="62"/>
      <x:c r="AR7" s="62"/>
      <x:c r="AS7" s="62"/>
      <x:c r="AT7" s="62"/>
      <x:c r="AU7" s="62"/>
      <x:c r="AV7" s="62"/>
      <x:c r="AW7" s="62"/>
      <x:c r="AX7" s="62"/>
      <x:c r="AY7" s="62"/>
      <x:c r="AZ7" s="62"/>
      <x:c r="BA7" s="62"/>
      <x:c r="BB7" s="62"/>
      <x:c r="BC7" s="62"/>
      <x:c r="BD7" s="62"/>
      <x:c r="BE7" s="62"/>
      <x:c r="BF7" s="62"/>
      <x:c r="BG7" s="62"/>
      <x:c r="BH7" s="62"/>
      <x:c r="BI7" s="62"/>
      <x:c r="BJ7" s="62"/>
      <x:c r="BK7" s="62"/>
      <x:c r="BL7" s="62"/>
    </x:row>
    <x:row r="8" ht="23" customHeight="1">
      <x:c r="A8" s="2"/>
      <x:c r="B8" s="2"/>
      <x:c r="C8" s="4" t="str">
        <x:v>India opening outlets</x:v>
      </x:c>
      <x:c r="D8" s="2"/>
      <x:c r="E8" s="64" t="n">
        <x:f>'Assumptions'!$D$10</x:f>
        <x:v>0</x:v>
      </x:c>
      <x:c r="F8" s="65" t="n">
        <x:f>E11</x:f>
        <x:v>8</x:v>
      </x:c>
      <x:c r="G8" s="65" t="n">
        <x:f>F11</x:f>
        <x:v>15.936</x:v>
      </x:c>
      <x:c r="H8" s="65" t="n">
        <x:f>G11</x:f>
        <x:v>23.808512</x:v>
      </x:c>
      <x:c r="I8" s="65" t="n">
        <x:f>H11</x:f>
        <x:v>31.618043904</x:v>
      </x:c>
      <x:c r="J8" s="65" t="n">
        <x:f>I11</x:f>
        <x:v>39.365099552768</x:v>
      </x:c>
      <x:c r="K8" s="65" t="n">
        <x:f>J11</x:f>
        <x:v>47.05017875634586</x:v>
      </x:c>
      <x:c r="L8" s="65" t="n">
        <x:f>K11</x:f>
        <x:v>54.67377732629509</x:v>
      </x:c>
      <x:c r="M8" s="65" t="n">
        <x:f>L11</x:f>
        <x:v>62.23638710768473</x:v>
      </x:c>
      <x:c r="N8" s="65" t="n">
        <x:f>M11</x:f>
        <x:v>69.73849601082324</x:v>
      </x:c>
      <x:c r="O8" s="65" t="n">
        <x:f>N11</x:f>
        <x:v>77.18058804273666</x:v>
      </x:c>
      <x:c r="P8" s="65" t="n">
        <x:f>O11</x:f>
        <x:v>84.56314333839477</x:v>
      </x:c>
      <x:c r="Q8" s="65" t="n">
        <x:f>P11</x:f>
        <x:v>91.88663819168761</x:v>
      </x:c>
      <x:c r="R8" s="78" t="n">
        <x:f>Q11</x:f>
        <x:v>146.1515450861541</x:v>
      </x:c>
      <x:c r="S8" s="78" t="n">
        <x:f>R11</x:f>
        <x:v>199.98233272546486</x:v>
      </x:c>
      <x:c r="T8" s="78" t="n">
        <x:f>S11</x:f>
        <x:v>253.38247406366114</x:v>
      </x:c>
      <x:c r="U8" s="78" t="n">
        <x:f>T11</x:f>
        <x:v>306.3554142711518</x:v>
      </x:c>
      <x:c r="V8" s="78" t="n">
        <x:f>U11</x:f>
        <x:v>358.9045709569826</x:v>
      </x:c>
      <x:c r="W8" s="78" t="n">
        <x:f>V11</x:f>
        <x:v>411.03333438932674</x:v>
      </x:c>
      <x:c r="X8" s="78" t="n">
        <x:f>W11</x:f>
        <x:v>462.7450677142121</x:v>
      </x:c>
      <x:c r="Y8" s="78" t="n">
        <x:f>X11</x:f>
        <x:v>514.0431071724985</x:v>
      </x:c>
      <x:c r="Z8" s="78" t="n">
        <x:f>Y11</x:f>
        <x:v>564.9307623151185</x:v>
      </x:c>
      <x:c r="AA8" s="78" t="n">
        <x:f>Z11</x:f>
        <x:v>615.4113162165976</x:v>
      </x:c>
      <x:c r="AB8" s="78" t="n">
        <x:f>AA11</x:f>
        <x:v>665.4880256868648</x:v>
      </x:c>
      <x:c r="AC8" s="78" t="n">
        <x:f>AB11</x:f>
        <x:v>715.1641214813699</x:v>
      </x:c>
      <x:c r="AD8" s="78" t="n">
        <x:f>AC11</x:f>
        <x:v>889.442808509519</x:v>
      </x:c>
      <x:c r="AE8" s="78" t="n">
        <x:f>AD11</x:f>
        <x:v>1062.3272660414427</x:v>
      </x:c>
      <x:c r="AF8" s="78" t="n">
        <x:f>AE11</x:f>
        <x:v>1233.8286479131111</x:v>
      </x:c>
      <x:c r="AG8" s="78" t="n">
        <x:f>AF11</x:f>
        <x:v>1403.9580187298063</x:v>
      </x:c>
      <x:c r="AH8" s="78" t="n">
        <x:f>AG11</x:f>
        <x:v>1572.7263545799678</x:v>
      </x:c>
      <x:c r="AI8" s="78" t="n">
        <x:f>AH11</x:f>
        <x:v>1740.144543743328</x:v>
      </x:c>
      <x:c r="AJ8" s="78" t="n">
        <x:f>AI11</x:f>
        <x:v>1906.2233873933815</x:v>
      </x:c>
      <x:c r="AK8" s="78" t="n">
        <x:f>AJ11</x:f>
        <x:v>2070.9736002942345</x:v>
      </x:c>
      <x:c r="AL8" s="78" t="n">
        <x:f>AK11</x:f>
        <x:v>2234.4058114918807</x:v>
      </x:c>
      <x:c r="AM8" s="78" t="n">
        <x:f>AL11</x:f>
        <x:v>2396.530564999946</x:v>
      </x:c>
      <x:c r="AN8" s="78" t="n">
        <x:f>AM11</x:f>
        <x:v>2557.3583204799465</x:v>
      </x:c>
      <x:c r="AO8" s="78" t="n">
        <x:f>AN11</x:f>
        <x:v>2716.899453916107</x:v>
      </x:c>
      <x:c r="AP8" s="78" t="n">
        <x:f>AO11</x:f>
        <x:v>3145.1642582847785</x:v>
      </x:c>
      <x:c r="AQ8" s="78" t="n">
        <x:f>AP11</x:f>
        <x:v>3570.0029442185005</x:v>
      </x:c>
      <x:c r="AR8" s="78" t="n">
        <x:f>AQ11</x:f>
        <x:v>3991.4429206647524</x:v>
      </x:c>
      <x:c r="AS8" s="78" t="n">
        <x:f>AR11</x:f>
        <x:v>4409.511377299435</x:v>
      </x:c>
      <x:c r="AT8" s="78" t="n">
        <x:f>AS11</x:f>
        <x:v>4824.235286281039</x:v>
      </x:c>
      <x:c r="AU8" s="78" t="n">
        <x:f>AT11</x:f>
        <x:v>5235.641403990791</x:v>
      </x:c>
      <x:c r="AV8" s="78" t="n">
        <x:f>AU11</x:f>
        <x:v>5643.756272758865</x:v>
      </x:c>
      <x:c r="AW8" s="78" t="n">
        <x:f>AV11</x:f>
        <x:v>6048.606222576794</x:v>
      </x:c>
      <x:c r="AX8" s="78" t="n">
        <x:f>AW11</x:f>
        <x:v>6450.217372796179</x:v>
      </x:c>
      <x:c r="AY8" s="78" t="n">
        <x:f>AX11</x:f>
        <x:v>6848.61563381381</x:v>
      </x:c>
      <x:c r="AZ8" s="78" t="n">
        <x:f>AY11</x:f>
        <x:v>7243.8267087433</x:v>
      </x:c>
      <x:c r="BA8" s="78" t="n">
        <x:f>AZ11</x:f>
        <x:v>7635.876095073353</x:v>
      </x:c>
      <x:c r="BB8" s="78" t="n">
        <x:f>BA11</x:f>
        <x:v>8474.789086312765</x:v>
      </x:c>
      <x:c r="BC8" s="78" t="n">
        <x:f>BB11</x:f>
        <x:v>9306.990773622263</x:v>
      </x:c>
      <x:c r="BD8" s="78" t="n">
        <x:f>BC11</x:f>
        <x:v>10132.534847433284</x:v>
      </x:c>
      <x:c r="BE8" s="78" t="n">
        <x:f>BD11</x:f>
        <x:v>10951.474568653817</x:v>
      </x:c>
      <x:c r="BF8" s="78" t="n">
        <x:f>BE11</x:f>
        <x:v>11763.862772104587</x:v>
      </x:c>
      <x:c r="BG8" s="78" t="n">
        <x:f>BF11</x:f>
        <x:v>12569.75186992775</x:v>
      </x:c>
      <x:c r="BH8" s="78" t="n">
        <x:f>BG11</x:f>
        <x:v>13369.193854968327</x:v>
      </x:c>
      <x:c r="BI8" s="78" t="n">
        <x:f>BH11</x:f>
        <x:v>14162.240304128582</x:v>
      </x:c>
      <x:c r="BJ8" s="78" t="n">
        <x:f>BI11</x:f>
        <x:v>14948.942381695553</x:v>
      </x:c>
      <x:c r="BK8" s="78" t="n">
        <x:f>BJ11</x:f>
        <x:v>15729.350842641988</x:v>
      </x:c>
      <x:c r="BL8" s="78" t="n">
        <x:f>BK11</x:f>
        <x:v>16503.51603590085</x:v>
      </x:c>
    </x:row>
    <x:row r="9" ht="23" customHeight="1">
      <x:c r="A9" s="2"/>
      <x:c r="B9" s="2"/>
      <x:c r="C9" s="4" t="str">
        <x:v>India new paid outlets</x:v>
      </x:c>
      <x:c r="D9" s="2"/>
      <x:c r="E9" s="64" t="n">
        <x:f>'Assumptions'!E36</x:f>
        <x:v>8</x:v>
      </x:c>
      <x:c r="F9" s="64" t="n">
        <x:f>'Assumptions'!E36</x:f>
        <x:v>8</x:v>
      </x:c>
      <x:c r="G9" s="64" t="n">
        <x:f>'Assumptions'!E36</x:f>
        <x:v>8</x:v>
      </x:c>
      <x:c r="H9" s="64" t="n">
        <x:f>'Assumptions'!E36</x:f>
        <x:v>8</x:v>
      </x:c>
      <x:c r="I9" s="64" t="n">
        <x:f>'Assumptions'!E36</x:f>
        <x:v>8</x:v>
      </x:c>
      <x:c r="J9" s="64" t="n">
        <x:f>'Assumptions'!E36</x:f>
        <x:v>8</x:v>
      </x:c>
      <x:c r="K9" s="64" t="n">
        <x:f>'Assumptions'!E36</x:f>
        <x:v>8</x:v>
      </x:c>
      <x:c r="L9" s="64" t="n">
        <x:f>'Assumptions'!E36</x:f>
        <x:v>8</x:v>
      </x:c>
      <x:c r="M9" s="64" t="n">
        <x:f>'Assumptions'!E36</x:f>
        <x:v>8</x:v>
      </x:c>
      <x:c r="N9" s="64" t="n">
        <x:f>'Assumptions'!E36</x:f>
        <x:v>8</x:v>
      </x:c>
      <x:c r="O9" s="64" t="n">
        <x:f>'Assumptions'!E36</x:f>
        <x:v>8</x:v>
      </x:c>
      <x:c r="P9" s="64" t="n">
        <x:f>'Assumptions'!E36</x:f>
        <x:v>8</x:v>
      </x:c>
      <x:c r="Q9" s="64" t="n">
        <x:f>'Assumptions'!F36</x:f>
        <x:v>55</x:v>
      </x:c>
      <x:c r="R9" s="79" t="n">
        <x:f>'Assumptions'!F36</x:f>
        <x:v>55</x:v>
      </x:c>
      <x:c r="S9" s="79" t="n">
        <x:f>'Assumptions'!F36</x:f>
        <x:v>55</x:v>
      </x:c>
      <x:c r="T9" s="79" t="n">
        <x:f>'Assumptions'!F36</x:f>
        <x:v>55</x:v>
      </x:c>
      <x:c r="U9" s="79" t="n">
        <x:f>'Assumptions'!F36</x:f>
        <x:v>55</x:v>
      </x:c>
      <x:c r="V9" s="79" t="n">
        <x:f>'Assumptions'!F36</x:f>
        <x:v>55</x:v>
      </x:c>
      <x:c r="W9" s="79" t="n">
        <x:f>'Assumptions'!F36</x:f>
        <x:v>55</x:v>
      </x:c>
      <x:c r="X9" s="79" t="n">
        <x:f>'Assumptions'!F36</x:f>
        <x:v>55</x:v>
      </x:c>
      <x:c r="Y9" s="79" t="n">
        <x:f>'Assumptions'!F36</x:f>
        <x:v>55</x:v>
      </x:c>
      <x:c r="Z9" s="79" t="n">
        <x:f>'Assumptions'!F36</x:f>
        <x:v>55</x:v>
      </x:c>
      <x:c r="AA9" s="79" t="n">
        <x:f>'Assumptions'!F36</x:f>
        <x:v>55</x:v>
      </x:c>
      <x:c r="AB9" s="79" t="n">
        <x:f>'Assumptions'!F36</x:f>
        <x:v>55</x:v>
      </x:c>
      <x:c r="AC9" s="79" t="n">
        <x:f>'Assumptions'!G36</x:f>
        <x:v>180</x:v>
      </x:c>
      <x:c r="AD9" s="79" t="n">
        <x:f>'Assumptions'!G36</x:f>
        <x:v>180</x:v>
      </x:c>
      <x:c r="AE9" s="79" t="n">
        <x:f>'Assumptions'!G36</x:f>
        <x:v>180</x:v>
      </x:c>
      <x:c r="AF9" s="79" t="n">
        <x:f>'Assumptions'!G36</x:f>
        <x:v>180</x:v>
      </x:c>
      <x:c r="AG9" s="79" t="n">
        <x:f>'Assumptions'!G36</x:f>
        <x:v>180</x:v>
      </x:c>
      <x:c r="AH9" s="79" t="n">
        <x:f>'Assumptions'!G36</x:f>
        <x:v>180</x:v>
      </x:c>
      <x:c r="AI9" s="79" t="n">
        <x:f>'Assumptions'!G36</x:f>
        <x:v>180</x:v>
      </x:c>
      <x:c r="AJ9" s="79" t="n">
        <x:f>'Assumptions'!G36</x:f>
        <x:v>180</x:v>
      </x:c>
      <x:c r="AK9" s="79" t="n">
        <x:f>'Assumptions'!G36</x:f>
        <x:v>180</x:v>
      </x:c>
      <x:c r="AL9" s="79" t="n">
        <x:f>'Assumptions'!G36</x:f>
        <x:v>180</x:v>
      </x:c>
      <x:c r="AM9" s="79" t="n">
        <x:f>'Assumptions'!G36</x:f>
        <x:v>180</x:v>
      </x:c>
      <x:c r="AN9" s="79" t="n">
        <x:f>'Assumptions'!G36</x:f>
        <x:v>180</x:v>
      </x:c>
      <x:c r="AO9" s="79" t="n">
        <x:f>'Assumptions'!H36</x:f>
        <x:v>450</x:v>
      </x:c>
      <x:c r="AP9" s="79" t="n">
        <x:f>'Assumptions'!H36</x:f>
        <x:v>450</x:v>
      </x:c>
      <x:c r="AQ9" s="79" t="n">
        <x:f>'Assumptions'!H36</x:f>
        <x:v>450</x:v>
      </x:c>
      <x:c r="AR9" s="79" t="n">
        <x:f>'Assumptions'!H36</x:f>
        <x:v>450</x:v>
      </x:c>
      <x:c r="AS9" s="79" t="n">
        <x:f>'Assumptions'!H36</x:f>
        <x:v>450</x:v>
      </x:c>
      <x:c r="AT9" s="79" t="n">
        <x:f>'Assumptions'!H36</x:f>
        <x:v>450</x:v>
      </x:c>
      <x:c r="AU9" s="79" t="n">
        <x:f>'Assumptions'!H36</x:f>
        <x:v>450</x:v>
      </x:c>
      <x:c r="AV9" s="79" t="n">
        <x:f>'Assumptions'!H36</x:f>
        <x:v>450</x:v>
      </x:c>
      <x:c r="AW9" s="79" t="n">
        <x:f>'Assumptions'!H36</x:f>
        <x:v>450</x:v>
      </x:c>
      <x:c r="AX9" s="79" t="n">
        <x:f>'Assumptions'!H36</x:f>
        <x:v>450</x:v>
      </x:c>
      <x:c r="AY9" s="79" t="n">
        <x:f>'Assumptions'!H36</x:f>
        <x:v>450</x:v>
      </x:c>
      <x:c r="AZ9" s="79" t="n">
        <x:f>'Assumptions'!H36</x:f>
        <x:v>450</x:v>
      </x:c>
      <x:c r="BA9" s="79" t="n">
        <x:f>'Assumptions'!I36</x:f>
        <x:v>900</x:v>
      </x:c>
      <x:c r="BB9" s="79" t="n">
        <x:f>'Assumptions'!I36</x:f>
        <x:v>900</x:v>
      </x:c>
      <x:c r="BC9" s="79" t="n">
        <x:f>'Assumptions'!I36</x:f>
        <x:v>900</x:v>
      </x:c>
      <x:c r="BD9" s="79" t="n">
        <x:f>'Assumptions'!I36</x:f>
        <x:v>900</x:v>
      </x:c>
      <x:c r="BE9" s="79" t="n">
        <x:f>'Assumptions'!I36</x:f>
        <x:v>900</x:v>
      </x:c>
      <x:c r="BF9" s="79" t="n">
        <x:f>'Assumptions'!I36</x:f>
        <x:v>900</x:v>
      </x:c>
      <x:c r="BG9" s="79" t="n">
        <x:f>'Assumptions'!I36</x:f>
        <x:v>900</x:v>
      </x:c>
      <x:c r="BH9" s="79" t="n">
        <x:f>'Assumptions'!I36</x:f>
        <x:v>900</x:v>
      </x:c>
      <x:c r="BI9" s="79" t="n">
        <x:f>'Assumptions'!I36</x:f>
        <x:v>900</x:v>
      </x:c>
      <x:c r="BJ9" s="79" t="n">
        <x:f>'Assumptions'!I36</x:f>
        <x:v>900</x:v>
      </x:c>
      <x:c r="BK9" s="79" t="n">
        <x:f>'Assumptions'!I36</x:f>
        <x:v>900</x:v>
      </x:c>
      <x:c r="BL9" s="79" t="n">
        <x:f>'Assumptions'!I36</x:f>
        <x:v>900</x:v>
      </x:c>
    </x:row>
    <x:row r="10" ht="23" customHeight="1">
      <x:c r="A10" s="2"/>
      <x:c r="B10" s="2"/>
      <x:c r="C10" s="4" t="str">
        <x:v>India churned outlets</x:v>
      </x:c>
      <x:c r="D10" s="2"/>
      <x:c r="E10" s="64" t="n">
        <x:f>E8*'Assumptions'!E44</x:f>
        <x:v>0</x:v>
      </x:c>
      <x:c r="F10" s="64" t="n">
        <x:f>F8*'Assumptions'!E44</x:f>
        <x:v>0.064</x:v>
      </x:c>
      <x:c r="G10" s="64" t="n">
        <x:f>G8*'Assumptions'!E44</x:f>
        <x:v>0.127488</x:v>
      </x:c>
      <x:c r="H10" s="64" t="n">
        <x:f>H8*'Assumptions'!E44</x:f>
        <x:v>0.190468096</x:v>
      </x:c>
      <x:c r="I10" s="64" t="n">
        <x:f>I8*'Assumptions'!E44</x:f>
        <x:v>0.252944351232</x:v>
      </x:c>
      <x:c r="J10" s="64" t="n">
        <x:f>J8*'Assumptions'!E44</x:f>
        <x:v>0.314920796422144</x:v>
      </x:c>
      <x:c r="K10" s="64" t="n">
        <x:f>K8*'Assumptions'!E44</x:f>
        <x:v>0.37640143005076687</x:v>
      </x:c>
      <x:c r="L10" s="64" t="n">
        <x:f>L8*'Assumptions'!E44</x:f>
        <x:v>0.4373902186103607</x:v>
      </x:c>
      <x:c r="M10" s="64" t="n">
        <x:f>M8*'Assumptions'!E44</x:f>
        <x:v>0.4978910968614778</x:v>
      </x:c>
      <x:c r="N10" s="64" t="n">
        <x:f>N8*'Assumptions'!E44</x:f>
        <x:v>0.5579079680865859</x:v>
      </x:c>
      <x:c r="O10" s="64" t="n">
        <x:f>O8*'Assumptions'!E44</x:f>
        <x:v>0.6174447043418932</x:v>
      </x:c>
      <x:c r="P10" s="64" t="n">
        <x:f>P8*'Assumptions'!E44</x:f>
        <x:v>0.6765051467071581</x:v>
      </x:c>
      <x:c r="Q10" s="64" t="n">
        <x:f>Q8*'Assumptions'!F44</x:f>
        <x:v>0.7350931055335009</x:v>
      </x:c>
      <x:c r="R10" s="79" t="n">
        <x:f>R8*'Assumptions'!F44</x:f>
        <x:v>1.1692123606892328</x:v>
      </x:c>
      <x:c r="S10" s="79" t="n">
        <x:f>S8*'Assumptions'!F44</x:f>
        <x:v>1.599858661803719</x:v>
      </x:c>
      <x:c r="T10" s="79" t="n">
        <x:f>T8*'Assumptions'!F44</x:f>
        <x:v>2.0270597925092892</x:v>
      </x:c>
      <x:c r="U10" s="79" t="n">
        <x:f>U8*'Assumptions'!F44</x:f>
        <x:v>2.4508433141692145</x:v>
      </x:c>
      <x:c r="V10" s="79" t="n">
        <x:f>V8*'Assumptions'!F44</x:f>
        <x:v>2.8712365676558607</x:v>
      </x:c>
      <x:c r="W10" s="79" t="n">
        <x:f>W8*'Assumptions'!F44</x:f>
        <x:v>3.288266675114614</x:v>
      </x:c>
      <x:c r="X10" s="79" t="n">
        <x:f>X8*'Assumptions'!F44</x:f>
        <x:v>3.7019605417136967</x:v>
      </x:c>
      <x:c r="Y10" s="79" t="n">
        <x:f>Y8*'Assumptions'!F44</x:f>
        <x:v>4.112344857379988</x:v>
      </x:c>
      <x:c r="Z10" s="79" t="n">
        <x:f>Z8*'Assumptions'!F44</x:f>
        <x:v>4.519446098520948</x:v>
      </x:c>
      <x:c r="AA10" s="79" t="n">
        <x:f>AA8*'Assumptions'!F44</x:f>
        <x:v>4.923290529732781</x:v>
      </x:c>
      <x:c r="AB10" s="79" t="n">
        <x:f>AB8*'Assumptions'!F44</x:f>
        <x:v>5.323904205494919</x:v>
      </x:c>
      <x:c r="AC10" s="79" t="n">
        <x:f>AC8*'Assumptions'!G44</x:f>
        <x:v>5.721312971850959</x:v>
      </x:c>
      <x:c r="AD10" s="79" t="n">
        <x:f>AD8*'Assumptions'!G44</x:f>
        <x:v>7.115542468076152</x:v>
      </x:c>
      <x:c r="AE10" s="79" t="n">
        <x:f>AE8*'Assumptions'!G44</x:f>
        <x:v>8.498618128331541</x:v>
      </x:c>
      <x:c r="AF10" s="79" t="n">
        <x:f>AF8*'Assumptions'!G44</x:f>
        <x:v>9.870629183304889</x:v>
      </x:c>
      <x:c r="AG10" s="79" t="n">
        <x:f>AG8*'Assumptions'!G44</x:f>
        <x:v>11.231664149838451</x:v>
      </x:c>
      <x:c r="AH10" s="79" t="n">
        <x:f>AH8*'Assumptions'!G44</x:f>
        <x:v>12.581810836639743</x:v>
      </x:c>
      <x:c r="AI10" s="79" t="n">
        <x:f>AI8*'Assumptions'!G44</x:f>
        <x:v>13.921156349946624</x:v>
      </x:c>
      <x:c r="AJ10" s="79" t="n">
        <x:f>AJ8*'Assumptions'!G44</x:f>
        <x:v>15.249787099147053</x:v>
      </x:c>
      <x:c r="AK10" s="79" t="n">
        <x:f>AK8*'Assumptions'!G44</x:f>
        <x:v>16.567788802353878</x:v>
      </x:c>
      <x:c r="AL10" s="79" t="n">
        <x:f>AL8*'Assumptions'!G44</x:f>
        <x:v>17.875246491935048</x:v>
      </x:c>
      <x:c r="AM10" s="79" t="n">
        <x:f>AM8*'Assumptions'!G44</x:f>
        <x:v>19.172244519999566</x:v>
      </x:c>
      <x:c r="AN10" s="79" t="n">
        <x:f>AN8*'Assumptions'!G44</x:f>
        <x:v>20.45886656383957</x:v>
      </x:c>
      <x:c r="AO10" s="79" t="n">
        <x:f>AO8*'Assumptions'!H44</x:f>
        <x:v>21.735195631328857</x:v>
      </x:c>
      <x:c r="AP10" s="79" t="n">
        <x:f>AP8*'Assumptions'!H44</x:f>
        <x:v>25.16131406627823</x:v>
      </x:c>
      <x:c r="AQ10" s="79" t="n">
        <x:f>AQ8*'Assumptions'!H44</x:f>
        <x:v>28.560023553748003</x:v>
      </x:c>
      <x:c r="AR10" s="79" t="n">
        <x:f>AR8*'Assumptions'!H44</x:f>
        <x:v>31.93154336531802</x:v>
      </x:c>
      <x:c r="AS10" s="79" t="n">
        <x:f>AS8*'Assumptions'!H44</x:f>
        <x:v>35.276091018395476</x:v>
      </x:c>
      <x:c r="AT10" s="79" t="n">
        <x:f>AT8*'Assumptions'!H44</x:f>
        <x:v>38.59388229024832</x:v>
      </x:c>
      <x:c r="AU10" s="79" t="n">
        <x:f>AU8*'Assumptions'!H44</x:f>
        <x:v>41.88513123192633</x:v>
      </x:c>
      <x:c r="AV10" s="79" t="n">
        <x:f>AV8*'Assumptions'!H44</x:f>
        <x:v>45.15005018207092</x:v>
      </x:c>
      <x:c r="AW10" s="79" t="n">
        <x:f>AW8*'Assumptions'!H44</x:f>
        <x:v>48.38884978061435</x:v>
      </x:c>
      <x:c r="AX10" s="79" t="n">
        <x:f>AX8*'Assumptions'!H44</x:f>
        <x:v>51.60173898236943</x:v>
      </x:c>
      <x:c r="AY10" s="79" t="n">
        <x:f>AY8*'Assumptions'!H44</x:f>
        <x:v>54.78892507051048</x:v>
      </x:c>
      <x:c r="AZ10" s="79" t="n">
        <x:f>AZ8*'Assumptions'!H44</x:f>
        <x:v>57.9506136699464</x:v>
      </x:c>
      <x:c r="BA10" s="79" t="n">
        <x:f>BA8*'Assumptions'!I44</x:f>
        <x:v>61.087008760586826</x:v>
      </x:c>
      <x:c r="BB10" s="79" t="n">
        <x:f>BB8*'Assumptions'!I44</x:f>
        <x:v>67.79831269050212</x:v>
      </x:c>
      <x:c r="BC10" s="79" t="n">
        <x:f>BC8*'Assumptions'!I44</x:f>
        <x:v>74.45592618897811</x:v>
      </x:c>
      <x:c r="BD10" s="79" t="n">
        <x:f>BD8*'Assumptions'!I44</x:f>
        <x:v>81.06027877946627</x:v>
      </x:c>
      <x:c r="BE10" s="79" t="n">
        <x:f>BE8*'Assumptions'!I44</x:f>
        <x:v>87.61179654923053</x:v>
      </x:c>
      <x:c r="BF10" s="79" t="n">
        <x:f>BF8*'Assumptions'!I44</x:f>
        <x:v>94.1109021768367</x:v>
      </x:c>
      <x:c r="BG10" s="79" t="n">
        <x:f>BG8*'Assumptions'!I44</x:f>
        <x:v>100.558014959422</x:v>
      </x:c>
      <x:c r="BH10" s="79" t="n">
        <x:f>BH8*'Assumptions'!I44</x:f>
        <x:v>106.95355083974663</x:v>
      </x:c>
      <x:c r="BI10" s="79" t="n">
        <x:f>BI8*'Assumptions'!I44</x:f>
        <x:v>113.29792243302866</x:v>
      </x:c>
      <x:c r="BJ10" s="79" t="n">
        <x:f>BJ8*'Assumptions'!I44</x:f>
        <x:v>119.59153905356443</x:v>
      </x:c>
      <x:c r="BK10" s="79" t="n">
        <x:f>BK8*'Assumptions'!I44</x:f>
        <x:v>125.8348067411359</x:v>
      </x:c>
      <x:c r="BL10" s="79" t="n">
        <x:f>BL8*'Assumptions'!I44</x:f>
        <x:v>132.0281282872068</x:v>
      </x:c>
    </x:row>
    <x:row r="11" ht="23" customHeight="1">
      <x:c r="A11" s="2"/>
      <x:c r="B11" s="2"/>
      <x:c r="C11" s="106" t="str">
        <x:v>India closing outlets</x:v>
      </x:c>
      <x:c r="D11" s="107"/>
      <x:c r="E11" s="108" t="n">
        <x:f>E8+E9-E10</x:f>
        <x:v>8</x:v>
      </x:c>
      <x:c r="F11" s="108" t="n">
        <x:f>F8+F9-F10</x:f>
        <x:v>15.936</x:v>
      </x:c>
      <x:c r="G11" s="108" t="n">
        <x:f>G8+G9-G10</x:f>
        <x:v>23.808512</x:v>
      </x:c>
      <x:c r="H11" s="108" t="n">
        <x:f>H8+H9-H10</x:f>
        <x:v>31.618043904</x:v>
      </x:c>
      <x:c r="I11" s="108" t="n">
        <x:f>I8+I9-I10</x:f>
        <x:v>39.365099552768</x:v>
      </x:c>
      <x:c r="J11" s="108" t="n">
        <x:f>J8+J9-J10</x:f>
        <x:v>47.05017875634586</x:v>
      </x:c>
      <x:c r="K11" s="108" t="n">
        <x:f>K8+K9-K10</x:f>
        <x:v>54.67377732629509</x:v>
      </x:c>
      <x:c r="L11" s="108" t="n">
        <x:f>L8+L9-L10</x:f>
        <x:v>62.23638710768473</x:v>
      </x:c>
      <x:c r="M11" s="108" t="n">
        <x:f>M8+M9-M10</x:f>
        <x:v>69.73849601082324</x:v>
      </x:c>
      <x:c r="N11" s="108" t="n">
        <x:f>N8+N9-N10</x:f>
        <x:v>77.18058804273666</x:v>
      </x:c>
      <x:c r="O11" s="108" t="n">
        <x:f>O8+O9-O10</x:f>
        <x:v>84.56314333839477</x:v>
      </x:c>
      <x:c r="P11" s="108" t="n">
        <x:f>P8+P9-P10</x:f>
        <x:v>91.88663819168761</x:v>
      </x:c>
      <x:c r="Q11" s="108" t="n">
        <x:f>Q8+Q9-Q10</x:f>
        <x:v>146.1515450861541</x:v>
      </x:c>
      <x:c r="R11" s="109" t="n">
        <x:f>R8+R9-R10</x:f>
        <x:v>199.98233272546486</x:v>
      </x:c>
      <x:c r="S11" s="109" t="n">
        <x:f>S8+S9-S10</x:f>
        <x:v>253.38247406366114</x:v>
      </x:c>
      <x:c r="T11" s="109" t="n">
        <x:f>T8+T9-T10</x:f>
        <x:v>306.3554142711518</x:v>
      </x:c>
      <x:c r="U11" s="109" t="n">
        <x:f>U8+U9-U10</x:f>
        <x:v>358.9045709569826</x:v>
      </x:c>
      <x:c r="V11" s="109" t="n">
        <x:f>V8+V9-V10</x:f>
        <x:v>411.03333438932674</x:v>
      </x:c>
      <x:c r="W11" s="109" t="n">
        <x:f>W8+W9-W10</x:f>
        <x:v>462.7450677142121</x:v>
      </x:c>
      <x:c r="X11" s="109" t="n">
        <x:f>X8+X9-X10</x:f>
        <x:v>514.0431071724985</x:v>
      </x:c>
      <x:c r="Y11" s="109" t="n">
        <x:f>Y8+Y9-Y10</x:f>
        <x:v>564.9307623151185</x:v>
      </x:c>
      <x:c r="Z11" s="109" t="n">
        <x:f>Z8+Z9-Z10</x:f>
        <x:v>615.4113162165976</x:v>
      </x:c>
      <x:c r="AA11" s="109" t="n">
        <x:f>AA8+AA9-AA10</x:f>
        <x:v>665.4880256868648</x:v>
      </x:c>
      <x:c r="AB11" s="109" t="n">
        <x:f>AB8+AB9-AB10</x:f>
        <x:v>715.1641214813699</x:v>
      </x:c>
      <x:c r="AC11" s="109" t="n">
        <x:f>AC8+AC9-AC10</x:f>
        <x:v>889.442808509519</x:v>
      </x:c>
      <x:c r="AD11" s="109" t="n">
        <x:f>AD8+AD9-AD10</x:f>
        <x:v>1062.3272660414427</x:v>
      </x:c>
      <x:c r="AE11" s="109" t="n">
        <x:f>AE8+AE9-AE10</x:f>
        <x:v>1233.8286479131111</x:v>
      </x:c>
      <x:c r="AF11" s="109" t="n">
        <x:f>AF8+AF9-AF10</x:f>
        <x:v>1403.9580187298063</x:v>
      </x:c>
      <x:c r="AG11" s="109" t="n">
        <x:f>AG8+AG9-AG10</x:f>
        <x:v>1572.7263545799678</x:v>
      </x:c>
      <x:c r="AH11" s="109" t="n">
        <x:f>AH8+AH9-AH10</x:f>
        <x:v>1740.144543743328</x:v>
      </x:c>
      <x:c r="AI11" s="109" t="n">
        <x:f>AI8+AI9-AI10</x:f>
        <x:v>1906.2233873933815</x:v>
      </x:c>
      <x:c r="AJ11" s="109" t="n">
        <x:f>AJ8+AJ9-AJ10</x:f>
        <x:v>2070.9736002942345</x:v>
      </x:c>
      <x:c r="AK11" s="109" t="n">
        <x:f>AK8+AK9-AK10</x:f>
        <x:v>2234.4058114918807</x:v>
      </x:c>
      <x:c r="AL11" s="109" t="n">
        <x:f>AL8+AL9-AL10</x:f>
        <x:v>2396.530564999946</x:v>
      </x:c>
      <x:c r="AM11" s="109" t="n">
        <x:f>AM8+AM9-AM10</x:f>
        <x:v>2557.3583204799465</x:v>
      </x:c>
      <x:c r="AN11" s="109" t="n">
        <x:f>AN8+AN9-AN10</x:f>
        <x:v>2716.899453916107</x:v>
      </x:c>
      <x:c r="AO11" s="109" t="n">
        <x:f>AO8+AO9-AO10</x:f>
        <x:v>3145.1642582847785</x:v>
      </x:c>
      <x:c r="AP11" s="109" t="n">
        <x:f>AP8+AP9-AP10</x:f>
        <x:v>3570.0029442185005</x:v>
      </x:c>
      <x:c r="AQ11" s="109" t="n">
        <x:f>AQ8+AQ9-AQ10</x:f>
        <x:v>3991.4429206647524</x:v>
      </x:c>
      <x:c r="AR11" s="109" t="n">
        <x:f>AR8+AR9-AR10</x:f>
        <x:v>4409.511377299435</x:v>
      </x:c>
      <x:c r="AS11" s="109" t="n">
        <x:f>AS8+AS9-AS10</x:f>
        <x:v>4824.235286281039</x:v>
      </x:c>
      <x:c r="AT11" s="109" t="n">
        <x:f>AT8+AT9-AT10</x:f>
        <x:v>5235.641403990791</x:v>
      </x:c>
      <x:c r="AU11" s="109" t="n">
        <x:f>AU8+AU9-AU10</x:f>
        <x:v>5643.756272758865</x:v>
      </x:c>
      <x:c r="AV11" s="109" t="n">
        <x:f>AV8+AV9-AV10</x:f>
        <x:v>6048.606222576794</x:v>
      </x:c>
      <x:c r="AW11" s="109" t="n">
        <x:f>AW8+AW9-AW10</x:f>
        <x:v>6450.217372796179</x:v>
      </x:c>
      <x:c r="AX11" s="109" t="n">
        <x:f>AX8+AX9-AX10</x:f>
        <x:v>6848.61563381381</x:v>
      </x:c>
      <x:c r="AY11" s="109" t="n">
        <x:f>AY8+AY9-AY10</x:f>
        <x:v>7243.8267087433</x:v>
      </x:c>
      <x:c r="AZ11" s="109" t="n">
        <x:f>AZ8+AZ9-AZ10</x:f>
        <x:v>7635.876095073353</x:v>
      </x:c>
      <x:c r="BA11" s="109" t="n">
        <x:f>BA8+BA9-BA10</x:f>
        <x:v>8474.789086312765</x:v>
      </x:c>
      <x:c r="BB11" s="109" t="n">
        <x:f>BB8+BB9-BB10</x:f>
        <x:v>9306.990773622263</x:v>
      </x:c>
      <x:c r="BC11" s="109" t="n">
        <x:f>BC8+BC9-BC10</x:f>
        <x:v>10132.534847433284</x:v>
      </x:c>
      <x:c r="BD11" s="109" t="n">
        <x:f>BD8+BD9-BD10</x:f>
        <x:v>10951.474568653817</x:v>
      </x:c>
      <x:c r="BE11" s="109" t="n">
        <x:f>BE8+BE9-BE10</x:f>
        <x:v>11763.862772104587</x:v>
      </x:c>
      <x:c r="BF11" s="109" t="n">
        <x:f>BF8+BF9-BF10</x:f>
        <x:v>12569.75186992775</x:v>
      </x:c>
      <x:c r="BG11" s="109" t="n">
        <x:f>BG8+BG9-BG10</x:f>
        <x:v>13369.193854968327</x:v>
      </x:c>
      <x:c r="BH11" s="109" t="n">
        <x:f>BH8+BH9-BH10</x:f>
        <x:v>14162.240304128582</x:v>
      </x:c>
      <x:c r="BI11" s="109" t="n">
        <x:f>BI8+BI9-BI10</x:f>
        <x:v>14948.942381695553</x:v>
      </x:c>
      <x:c r="BJ11" s="109" t="n">
        <x:f>BJ8+BJ9-BJ10</x:f>
        <x:v>15729.350842641988</x:v>
      </x:c>
      <x:c r="BK11" s="109" t="n">
        <x:f>BK8+BK9-BK10</x:f>
        <x:v>16503.51603590085</x:v>
      </x:c>
      <x:c r="BL11" s="109" t="n">
        <x:f>BL8+BL9-BL10</x:f>
        <x:v>17271.487907613646</x:v>
      </x:c>
    </x:row>
    <x:row r="12" ht="23" customHeight="1">
      <x:c r="A12" s="2"/>
      <x:c r="B12" s="2"/>
      <x:c r="C12" s="4" t="str">
        <x:v>India average billable outlets</x:v>
      </x:c>
      <x:c r="D12" s="2"/>
      <x:c r="E12" s="65" t="n">
        <x:f>AVERAGE(E8,E11)</x:f>
        <x:v>4</x:v>
      </x:c>
      <x:c r="F12" s="65" t="n">
        <x:f>AVERAGE(F8,F11)</x:f>
        <x:v>11.968</x:v>
      </x:c>
      <x:c r="G12" s="65" t="n">
        <x:f>AVERAGE(G8,G11)</x:f>
        <x:v>19.872256</x:v>
      </x:c>
      <x:c r="H12" s="65" t="n">
        <x:f>AVERAGE(H8,H11)</x:f>
        <x:v>27.713277952</x:v>
      </x:c>
      <x:c r="I12" s="65" t="n">
        <x:f>AVERAGE(I8,I11)</x:f>
        <x:v>35.491571728384</x:v>
      </x:c>
      <x:c r="J12" s="65" t="n">
        <x:f>AVERAGE(J8,J11)</x:f>
        <x:v>43.20763915455693</x:v>
      </x:c>
      <x:c r="K12" s="65" t="n">
        <x:f>AVERAGE(K8,K11)</x:f>
        <x:v>50.86197804132047</x:v>
      </x:c>
      <x:c r="L12" s="65" t="n">
        <x:f>AVERAGE(L8,L11)</x:f>
        <x:v>58.45508221698991</x:v>
      </x:c>
      <x:c r="M12" s="65" t="n">
        <x:f>AVERAGE(M8,M11)</x:f>
        <x:v>65.98744155925398</x:v>
      </x:c>
      <x:c r="N12" s="65" t="n">
        <x:f>AVERAGE(N8,N11)</x:f>
        <x:v>73.45954202677996</x:v>
      </x:c>
      <x:c r="O12" s="65" t="n">
        <x:f>AVERAGE(O8,O11)</x:f>
        <x:v>80.87186569056571</x:v>
      </x:c>
      <x:c r="P12" s="65" t="n">
        <x:f>AVERAGE(P8,P11)</x:f>
        <x:v>88.22489076504118</x:v>
      </x:c>
      <x:c r="Q12" s="65" t="n">
        <x:f>AVERAGE(Q8,Q11)</x:f>
        <x:v>119.01909163892086</x:v>
      </x:c>
      <x:c r="R12" s="78" t="n">
        <x:f>AVERAGE(R8,R11)</x:f>
        <x:v>173.06693890580948</x:v>
      </x:c>
      <x:c r="S12" s="78" t="n">
        <x:f>AVERAGE(S8,S11)</x:f>
        <x:v>226.68240339456298</x:v>
      </x:c>
      <x:c r="T12" s="78" t="n">
        <x:f>AVERAGE(T8,T11)</x:f>
        <x:v>279.8689441674065</x:v>
      </x:c>
      <x:c r="U12" s="78" t="n">
        <x:f>AVERAGE(U8,U11)</x:f>
        <x:v>332.6299926140672</x:v>
      </x:c>
      <x:c r="V12" s="78" t="n">
        <x:f>AVERAGE(V8,V11)</x:f>
        <x:v>384.96895267315466</x:v>
      </x:c>
      <x:c r="W12" s="78" t="n">
        <x:f>AVERAGE(W8,W11)</x:f>
        <x:v>436.8892010517694</x:v>
      </x:c>
      <x:c r="X12" s="78" t="n">
        <x:f>AVERAGE(X8,X11)</x:f>
        <x:v>488.39408744335526</x:v>
      </x:c>
      <x:c r="Y12" s="78" t="n">
        <x:f>AVERAGE(Y8,Y11)</x:f>
        <x:v>539.4869347438084</x:v>
      </x:c>
      <x:c r="Z12" s="78" t="n">
        <x:f>AVERAGE(Z8,Z11)</x:f>
        <x:v>590.1710392658581</x:v>
      </x:c>
      <x:c r="AA12" s="78" t="n">
        <x:f>AVERAGE(AA8,AA11)</x:f>
        <x:v>640.4496709517312</x:v>
      </x:c>
      <x:c r="AB12" s="78" t="n">
        <x:f>AVERAGE(AB8,AB11)</x:f>
        <x:v>690.3260735841174</x:v>
      </x:c>
      <x:c r="AC12" s="78" t="n">
        <x:f>AVERAGE(AC8,AC11)</x:f>
        <x:v>802.3034649954444</x:v>
      </x:c>
      <x:c r="AD12" s="78" t="n">
        <x:f>AVERAGE(AD8,AD11)</x:f>
        <x:v>975.8850372754808</x:v>
      </x:c>
      <x:c r="AE12" s="78" t="n">
        <x:f>AVERAGE(AE8,AE11)</x:f>
        <x:v>1148.077956977277</x:v>
      </x:c>
      <x:c r="AF12" s="78" t="n">
        <x:f>AVERAGE(AF8,AF11)</x:f>
        <x:v>1318.8933333214586</x:v>
      </x:c>
      <x:c r="AG12" s="78" t="n">
        <x:f>AVERAGE(AG8,AG11)</x:f>
        <x:v>1488.342186654887</x:v>
      </x:c>
      <x:c r="AH12" s="78" t="n">
        <x:f>AVERAGE(AH8,AH11)</x:f>
        <x:v>1656.435449161648</x:v>
      </x:c>
      <x:c r="AI12" s="78" t="n">
        <x:f>AVERAGE(AI8,AI11)</x:f>
        <x:v>1823.1839655683548</x:v>
      </x:c>
      <x:c r="AJ12" s="78" t="n">
        <x:f>AVERAGE(AJ8,AJ11)</x:f>
        <x:v>1988.598493843808</x:v>
      </x:c>
      <x:c r="AK12" s="78" t="n">
        <x:f>AVERAGE(AK8,AK11)</x:f>
        <x:v>2152.6897058930576</x:v>
      </x:c>
      <x:c r="AL12" s="78" t="n">
        <x:f>AVERAGE(AL8,AL11)</x:f>
        <x:v>2315.4681882459136</x:v>
      </x:c>
      <x:c r="AM12" s="78" t="n">
        <x:f>AVERAGE(AM8,AM11)</x:f>
        <x:v>2476.944442739946</x:v>
      </x:c>
      <x:c r="AN12" s="78" t="n">
        <x:f>AVERAGE(AN8,AN11)</x:f>
        <x:v>2637.128887198027</x:v>
      </x:c>
      <x:c r="AO12" s="78" t="n">
        <x:f>AVERAGE(AO8,AO11)</x:f>
        <x:v>2931.031856100443</x:v>
      </x:c>
      <x:c r="AP12" s="78" t="n">
        <x:f>AVERAGE(AP8,AP11)</x:f>
        <x:v>3357.5836012516393</x:v>
      </x:c>
      <x:c r="AQ12" s="78" t="n">
        <x:f>AVERAGE(AQ8,AQ11)</x:f>
        <x:v>3780.7229324416267</x:v>
      </x:c>
      <x:c r="AR12" s="78" t="n">
        <x:f>AVERAGE(AR8,AR11)</x:f>
        <x:v>4200.477148982093</x:v>
      </x:c>
      <x:c r="AS12" s="78" t="n">
        <x:f>AVERAGE(AS8,AS11)</x:f>
        <x:v>4616.873331790237</x:v>
      </x:c>
      <x:c r="AT12" s="78" t="n">
        <x:f>AVERAGE(AT8,AT11)</x:f>
        <x:v>5029.938345135915</x:v>
      </x:c>
      <x:c r="AU12" s="78" t="n">
        <x:f>AVERAGE(AU8,AU11)</x:f>
        <x:v>5439.6988383748285</x:v>
      </x:c>
      <x:c r="AV12" s="78" t="n">
        <x:f>AVERAGE(AV8,AV11)</x:f>
        <x:v>5846.18124766783</x:v>
      </x:c>
      <x:c r="AW12" s="78" t="n">
        <x:f>AVERAGE(AW8,AW11)</x:f>
        <x:v>6249.411797686486</x:v>
      </x:c>
      <x:c r="AX12" s="78" t="n">
        <x:f>AVERAGE(AX8,AX11)</x:f>
        <x:v>6649.416503304994</x:v>
      </x:c>
      <x:c r="AY12" s="78" t="n">
        <x:f>AVERAGE(AY8,AY11)</x:f>
        <x:v>7046.221171278555</x:v>
      </x:c>
      <x:c r="AZ12" s="78" t="n">
        <x:f>AVERAGE(AZ8,AZ11)</x:f>
        <x:v>7439.851401908327</x:v>
      </x:c>
      <x:c r="BA12" s="78" t="n">
        <x:f>AVERAGE(BA8,BA11)</x:f>
        <x:v>8055.332590693059</x:v>
      </x:c>
      <x:c r="BB12" s="78" t="n">
        <x:f>AVERAGE(BB8,BB11)</x:f>
        <x:v>8890.889929967514</x:v>
      </x:c>
      <x:c r="BC12" s="78" t="n">
        <x:f>AVERAGE(BC8,BC11)</x:f>
        <x:v>9719.762810527773</x:v>
      </x:c>
      <x:c r="BD12" s="78" t="n">
        <x:f>AVERAGE(BD8,BD11)</x:f>
        <x:v>10542.00470804355</x:v>
      </x:c>
      <x:c r="BE12" s="78" t="n">
        <x:f>AVERAGE(BE8,BE11)</x:f>
        <x:v>11357.668670379202</x:v>
      </x:c>
      <x:c r="BF12" s="78" t="n">
        <x:f>AVERAGE(BF8,BF11)</x:f>
        <x:v>12166.807321016167</x:v>
      </x:c>
      <x:c r="BG12" s="78" t="n">
        <x:f>AVERAGE(BG8,BG11)</x:f>
        <x:v>12969.472862448038</x:v>
      </x:c>
      <x:c r="BH12" s="78" t="n">
        <x:f>AVERAGE(BH8,BH11)</x:f>
        <x:v>13765.717079548454</x:v>
      </x:c>
      <x:c r="BI12" s="78" t="n">
        <x:f>AVERAGE(BI8,BI11)</x:f>
        <x:v>14555.591342912066</x:v>
      </x:c>
      <x:c r="BJ12" s="78" t="n">
        <x:f>AVERAGE(BJ8,BJ11)</x:f>
        <x:v>15339.14661216877</x:v>
      </x:c>
      <x:c r="BK12" s="78" t="n">
        <x:f>AVERAGE(BK8,BK11)</x:f>
        <x:v>16116.433439271419</x:v>
      </x:c>
      <x:c r="BL12" s="78" t="n">
        <x:f>AVERAGE(BL8,BL11)</x:f>
        <x:v>16887.50197175725</x:v>
      </x:c>
    </x:row>
    <x:row r="13" ht="23" customHeight="1">
      <x:c r="A13" s="2"/>
      <x:c r="B13" s="2"/>
      <x:c r="C13" s="4" t="str">
        <x:v>India net monthly ARPU (INR)</x:v>
      </x:c>
      <x:c r="D13" s="2"/>
      <x:c r="E13" s="66" t="n">
        <x:f>('Assumptions'!$D$12*(1-'Assumptions'!E52)+'Assumptions'!$D$13*'Assumptions'!E52)*(1-'Assumptions'!$D$16*(1-'Assumptions'!$D$18/'Assumptions'!$D$19))</x:f>
        <x:v>1739.0333333333333</x:v>
      </x:c>
      <x:c r="F13" s="66" t="n">
        <x:f>('Assumptions'!$D$12*(1-'Assumptions'!E52)+'Assumptions'!$D$13*'Assumptions'!E52)*(1-'Assumptions'!$D$16*(1-'Assumptions'!$D$18/'Assumptions'!$D$19))</x:f>
        <x:v>1739.0333333333333</x:v>
      </x:c>
      <x:c r="G13" s="66" t="n">
        <x:f>('Assumptions'!$D$12*(1-'Assumptions'!E52)+'Assumptions'!$D$13*'Assumptions'!E52)*(1-'Assumptions'!$D$16*(1-'Assumptions'!$D$18/'Assumptions'!$D$19))</x:f>
        <x:v>1739.0333333333333</x:v>
      </x:c>
      <x:c r="H13" s="66" t="n">
        <x:f>('Assumptions'!$D$12*(1-'Assumptions'!E52)+'Assumptions'!$D$13*'Assumptions'!E52)*(1-'Assumptions'!$D$16*(1-'Assumptions'!$D$18/'Assumptions'!$D$19))</x:f>
        <x:v>1739.0333333333333</x:v>
      </x:c>
      <x:c r="I13" s="66" t="n">
        <x:f>('Assumptions'!$D$12*(1-'Assumptions'!E52)+'Assumptions'!$D$13*'Assumptions'!E52)*(1-'Assumptions'!$D$16*(1-'Assumptions'!$D$18/'Assumptions'!$D$19))</x:f>
        <x:v>1739.0333333333333</x:v>
      </x:c>
      <x:c r="J13" s="66" t="n">
        <x:f>('Assumptions'!$D$12*(1-'Assumptions'!E52)+'Assumptions'!$D$13*'Assumptions'!E52)*(1-'Assumptions'!$D$16*(1-'Assumptions'!$D$18/'Assumptions'!$D$19))</x:f>
        <x:v>1739.0333333333333</x:v>
      </x:c>
      <x:c r="K13" s="66" t="n">
        <x:f>('Assumptions'!$D$12*(1-'Assumptions'!E52)+'Assumptions'!$D$13*'Assumptions'!E52)*(1-'Assumptions'!$D$16*(1-'Assumptions'!$D$18/'Assumptions'!$D$19))</x:f>
        <x:v>1739.0333333333333</x:v>
      </x:c>
      <x:c r="L13" s="66" t="n">
        <x:f>('Assumptions'!$D$12*(1-'Assumptions'!E52)+'Assumptions'!$D$13*'Assumptions'!E52)*(1-'Assumptions'!$D$16*(1-'Assumptions'!$D$18/'Assumptions'!$D$19))</x:f>
        <x:v>1739.0333333333333</x:v>
      </x:c>
      <x:c r="M13" s="66" t="n">
        <x:f>('Assumptions'!$D$12*(1-'Assumptions'!E52)+'Assumptions'!$D$13*'Assumptions'!E52)*(1-'Assumptions'!$D$16*(1-'Assumptions'!$D$18/'Assumptions'!$D$19))</x:f>
        <x:v>1739.0333333333333</x:v>
      </x:c>
      <x:c r="N13" s="66" t="n">
        <x:f>('Assumptions'!$D$12*(1-'Assumptions'!E52)+'Assumptions'!$D$13*'Assumptions'!E52)*(1-'Assumptions'!$D$16*(1-'Assumptions'!$D$18/'Assumptions'!$D$19))</x:f>
        <x:v>1739.0333333333333</x:v>
      </x:c>
      <x:c r="O13" s="66" t="n">
        <x:f>('Assumptions'!$D$12*(1-'Assumptions'!E52)+'Assumptions'!$D$13*'Assumptions'!E52)*(1-'Assumptions'!$D$16*(1-'Assumptions'!$D$18/'Assumptions'!$D$19))</x:f>
        <x:v>1739.0333333333333</x:v>
      </x:c>
      <x:c r="P13" s="66" t="n">
        <x:f>('Assumptions'!$D$12*(1-'Assumptions'!E52)+'Assumptions'!$D$13*'Assumptions'!E52)*(1-'Assumptions'!$D$16*(1-'Assumptions'!$D$18/'Assumptions'!$D$19))</x:f>
        <x:v>1739.0333333333333</x:v>
      </x:c>
      <x:c r="Q13" s="66" t="n">
        <x:f>('Assumptions'!$D$12*(1-'Assumptions'!F52)+'Assumptions'!$D$13*'Assumptions'!F52)*(1-'Assumptions'!$D$16*(1-'Assumptions'!$D$18/'Assumptions'!$D$19))</x:f>
        <x:v>1835.7</x:v>
      </x:c>
      <x:c r="R13" s="81" t="n">
        <x:f>('Assumptions'!$D$12*(1-'Assumptions'!F52)+'Assumptions'!$D$13*'Assumptions'!F52)*(1-'Assumptions'!$D$16*(1-'Assumptions'!$D$18/'Assumptions'!$D$19))</x:f>
        <x:v>1835.7</x:v>
      </x:c>
      <x:c r="S13" s="81" t="n">
        <x:f>('Assumptions'!$D$12*(1-'Assumptions'!F52)+'Assumptions'!$D$13*'Assumptions'!F52)*(1-'Assumptions'!$D$16*(1-'Assumptions'!$D$18/'Assumptions'!$D$19))</x:f>
        <x:v>1835.7</x:v>
      </x:c>
      <x:c r="T13" s="81" t="n">
        <x:f>('Assumptions'!$D$12*(1-'Assumptions'!F52)+'Assumptions'!$D$13*'Assumptions'!F52)*(1-'Assumptions'!$D$16*(1-'Assumptions'!$D$18/'Assumptions'!$D$19))</x:f>
        <x:v>1835.7</x:v>
      </x:c>
      <x:c r="U13" s="81" t="n">
        <x:f>('Assumptions'!$D$12*(1-'Assumptions'!F52)+'Assumptions'!$D$13*'Assumptions'!F52)*(1-'Assumptions'!$D$16*(1-'Assumptions'!$D$18/'Assumptions'!$D$19))</x:f>
        <x:v>1835.7</x:v>
      </x:c>
      <x:c r="V13" s="81" t="n">
        <x:f>('Assumptions'!$D$12*(1-'Assumptions'!F52)+'Assumptions'!$D$13*'Assumptions'!F52)*(1-'Assumptions'!$D$16*(1-'Assumptions'!$D$18/'Assumptions'!$D$19))</x:f>
        <x:v>1835.7</x:v>
      </x:c>
      <x:c r="W13" s="81" t="n">
        <x:f>('Assumptions'!$D$12*(1-'Assumptions'!F52)+'Assumptions'!$D$13*'Assumptions'!F52)*(1-'Assumptions'!$D$16*(1-'Assumptions'!$D$18/'Assumptions'!$D$19))</x:f>
        <x:v>1835.7</x:v>
      </x:c>
      <x:c r="X13" s="81" t="n">
        <x:f>('Assumptions'!$D$12*(1-'Assumptions'!F52)+'Assumptions'!$D$13*'Assumptions'!F52)*(1-'Assumptions'!$D$16*(1-'Assumptions'!$D$18/'Assumptions'!$D$19))</x:f>
        <x:v>1835.7</x:v>
      </x:c>
      <x:c r="Y13" s="81" t="n">
        <x:f>('Assumptions'!$D$12*(1-'Assumptions'!F52)+'Assumptions'!$D$13*'Assumptions'!F52)*(1-'Assumptions'!$D$16*(1-'Assumptions'!$D$18/'Assumptions'!$D$19))</x:f>
        <x:v>1835.7</x:v>
      </x:c>
      <x:c r="Z13" s="81" t="n">
        <x:f>('Assumptions'!$D$12*(1-'Assumptions'!F52)+'Assumptions'!$D$13*'Assumptions'!F52)*(1-'Assumptions'!$D$16*(1-'Assumptions'!$D$18/'Assumptions'!$D$19))</x:f>
        <x:v>1835.7</x:v>
      </x:c>
      <x:c r="AA13" s="81" t="n">
        <x:f>('Assumptions'!$D$12*(1-'Assumptions'!F52)+'Assumptions'!$D$13*'Assumptions'!F52)*(1-'Assumptions'!$D$16*(1-'Assumptions'!$D$18/'Assumptions'!$D$19))</x:f>
        <x:v>1835.7</x:v>
      </x:c>
      <x:c r="AB13" s="81" t="n">
        <x:f>('Assumptions'!$D$12*(1-'Assumptions'!F52)+'Assumptions'!$D$13*'Assumptions'!F52)*(1-'Assumptions'!$D$16*(1-'Assumptions'!$D$18/'Assumptions'!$D$19))</x:f>
        <x:v>1835.7</x:v>
      </x:c>
      <x:c r="AC13" s="81" t="n">
        <x:f>('Assumptions'!$D$12*(1-'Assumptions'!G52)+'Assumptions'!$D$13*'Assumptions'!G52)*(1-'Assumptions'!$D$16*(1-'Assumptions'!$D$18/'Assumptions'!$D$19))</x:f>
        <x:v>1884.0333333333333</x:v>
      </x:c>
      <x:c r="AD13" s="81" t="n">
        <x:f>('Assumptions'!$D$12*(1-'Assumptions'!G52)+'Assumptions'!$D$13*'Assumptions'!G52)*(1-'Assumptions'!$D$16*(1-'Assumptions'!$D$18/'Assumptions'!$D$19))</x:f>
        <x:v>1884.0333333333333</x:v>
      </x:c>
      <x:c r="AE13" s="81" t="n">
        <x:f>('Assumptions'!$D$12*(1-'Assumptions'!G52)+'Assumptions'!$D$13*'Assumptions'!G52)*(1-'Assumptions'!$D$16*(1-'Assumptions'!$D$18/'Assumptions'!$D$19))</x:f>
        <x:v>1884.0333333333333</x:v>
      </x:c>
      <x:c r="AF13" s="81" t="n">
        <x:f>('Assumptions'!$D$12*(1-'Assumptions'!G52)+'Assumptions'!$D$13*'Assumptions'!G52)*(1-'Assumptions'!$D$16*(1-'Assumptions'!$D$18/'Assumptions'!$D$19))</x:f>
        <x:v>1884.0333333333333</x:v>
      </x:c>
      <x:c r="AG13" s="81" t="n">
        <x:f>('Assumptions'!$D$12*(1-'Assumptions'!G52)+'Assumptions'!$D$13*'Assumptions'!G52)*(1-'Assumptions'!$D$16*(1-'Assumptions'!$D$18/'Assumptions'!$D$19))</x:f>
        <x:v>1884.0333333333333</x:v>
      </x:c>
      <x:c r="AH13" s="81" t="n">
        <x:f>('Assumptions'!$D$12*(1-'Assumptions'!G52)+'Assumptions'!$D$13*'Assumptions'!G52)*(1-'Assumptions'!$D$16*(1-'Assumptions'!$D$18/'Assumptions'!$D$19))</x:f>
        <x:v>1884.0333333333333</x:v>
      </x:c>
      <x:c r="AI13" s="81" t="n">
        <x:f>('Assumptions'!$D$12*(1-'Assumptions'!G52)+'Assumptions'!$D$13*'Assumptions'!G52)*(1-'Assumptions'!$D$16*(1-'Assumptions'!$D$18/'Assumptions'!$D$19))</x:f>
        <x:v>1884.0333333333333</x:v>
      </x:c>
      <x:c r="AJ13" s="81" t="n">
        <x:f>('Assumptions'!$D$12*(1-'Assumptions'!G52)+'Assumptions'!$D$13*'Assumptions'!G52)*(1-'Assumptions'!$D$16*(1-'Assumptions'!$D$18/'Assumptions'!$D$19))</x:f>
        <x:v>1884.0333333333333</x:v>
      </x:c>
      <x:c r="AK13" s="81" t="n">
        <x:f>('Assumptions'!$D$12*(1-'Assumptions'!G52)+'Assumptions'!$D$13*'Assumptions'!G52)*(1-'Assumptions'!$D$16*(1-'Assumptions'!$D$18/'Assumptions'!$D$19))</x:f>
        <x:v>1884.0333333333333</x:v>
      </x:c>
      <x:c r="AL13" s="81" t="n">
        <x:f>('Assumptions'!$D$12*(1-'Assumptions'!G52)+'Assumptions'!$D$13*'Assumptions'!G52)*(1-'Assumptions'!$D$16*(1-'Assumptions'!$D$18/'Assumptions'!$D$19))</x:f>
        <x:v>1884.0333333333333</x:v>
      </x:c>
      <x:c r="AM13" s="81" t="n">
        <x:f>('Assumptions'!$D$12*(1-'Assumptions'!G52)+'Assumptions'!$D$13*'Assumptions'!G52)*(1-'Assumptions'!$D$16*(1-'Assumptions'!$D$18/'Assumptions'!$D$19))</x:f>
        <x:v>1884.0333333333333</x:v>
      </x:c>
      <x:c r="AN13" s="81" t="n">
        <x:f>('Assumptions'!$D$12*(1-'Assumptions'!G52)+'Assumptions'!$D$13*'Assumptions'!G52)*(1-'Assumptions'!$D$16*(1-'Assumptions'!$D$18/'Assumptions'!$D$19))</x:f>
        <x:v>1884.0333333333333</x:v>
      </x:c>
      <x:c r="AO13" s="81" t="n">
        <x:f>('Assumptions'!$D$12*(1-'Assumptions'!H52)+'Assumptions'!$D$13*'Assumptions'!H52)*(1-'Assumptions'!$D$16*(1-'Assumptions'!$D$18/'Assumptions'!$D$19))</x:f>
        <x:v>1932.3666666666668</x:v>
      </x:c>
      <x:c r="AP13" s="81" t="n">
        <x:f>('Assumptions'!$D$12*(1-'Assumptions'!H52)+'Assumptions'!$D$13*'Assumptions'!H52)*(1-'Assumptions'!$D$16*(1-'Assumptions'!$D$18/'Assumptions'!$D$19))</x:f>
        <x:v>1932.3666666666668</x:v>
      </x:c>
      <x:c r="AQ13" s="81" t="n">
        <x:f>('Assumptions'!$D$12*(1-'Assumptions'!H52)+'Assumptions'!$D$13*'Assumptions'!H52)*(1-'Assumptions'!$D$16*(1-'Assumptions'!$D$18/'Assumptions'!$D$19))</x:f>
        <x:v>1932.3666666666668</x:v>
      </x:c>
      <x:c r="AR13" s="81" t="n">
        <x:f>('Assumptions'!$D$12*(1-'Assumptions'!H52)+'Assumptions'!$D$13*'Assumptions'!H52)*(1-'Assumptions'!$D$16*(1-'Assumptions'!$D$18/'Assumptions'!$D$19))</x:f>
        <x:v>1932.3666666666668</x:v>
      </x:c>
      <x:c r="AS13" s="81" t="n">
        <x:f>('Assumptions'!$D$12*(1-'Assumptions'!H52)+'Assumptions'!$D$13*'Assumptions'!H52)*(1-'Assumptions'!$D$16*(1-'Assumptions'!$D$18/'Assumptions'!$D$19))</x:f>
        <x:v>1932.3666666666668</x:v>
      </x:c>
      <x:c r="AT13" s="81" t="n">
        <x:f>('Assumptions'!$D$12*(1-'Assumptions'!H52)+'Assumptions'!$D$13*'Assumptions'!H52)*(1-'Assumptions'!$D$16*(1-'Assumptions'!$D$18/'Assumptions'!$D$19))</x:f>
        <x:v>1932.3666666666668</x:v>
      </x:c>
      <x:c r="AU13" s="81" t="n">
        <x:f>('Assumptions'!$D$12*(1-'Assumptions'!H52)+'Assumptions'!$D$13*'Assumptions'!H52)*(1-'Assumptions'!$D$16*(1-'Assumptions'!$D$18/'Assumptions'!$D$19))</x:f>
        <x:v>1932.3666666666668</x:v>
      </x:c>
      <x:c r="AV13" s="81" t="n">
        <x:f>('Assumptions'!$D$12*(1-'Assumptions'!H52)+'Assumptions'!$D$13*'Assumptions'!H52)*(1-'Assumptions'!$D$16*(1-'Assumptions'!$D$18/'Assumptions'!$D$19))</x:f>
        <x:v>1932.3666666666668</x:v>
      </x:c>
      <x:c r="AW13" s="81" t="n">
        <x:f>('Assumptions'!$D$12*(1-'Assumptions'!H52)+'Assumptions'!$D$13*'Assumptions'!H52)*(1-'Assumptions'!$D$16*(1-'Assumptions'!$D$18/'Assumptions'!$D$19))</x:f>
        <x:v>1932.3666666666668</x:v>
      </x:c>
      <x:c r="AX13" s="81" t="n">
        <x:f>('Assumptions'!$D$12*(1-'Assumptions'!H52)+'Assumptions'!$D$13*'Assumptions'!H52)*(1-'Assumptions'!$D$16*(1-'Assumptions'!$D$18/'Assumptions'!$D$19))</x:f>
        <x:v>1932.3666666666668</x:v>
      </x:c>
      <x:c r="AY13" s="81" t="n">
        <x:f>('Assumptions'!$D$12*(1-'Assumptions'!H52)+'Assumptions'!$D$13*'Assumptions'!H52)*(1-'Assumptions'!$D$16*(1-'Assumptions'!$D$18/'Assumptions'!$D$19))</x:f>
        <x:v>1932.3666666666668</x:v>
      </x:c>
      <x:c r="AZ13" s="81" t="n">
        <x:f>('Assumptions'!$D$12*(1-'Assumptions'!H52)+'Assumptions'!$D$13*'Assumptions'!H52)*(1-'Assumptions'!$D$16*(1-'Assumptions'!$D$18/'Assumptions'!$D$19))</x:f>
        <x:v>1932.3666666666668</x:v>
      </x:c>
      <x:c r="BA13" s="81" t="n">
        <x:f>('Assumptions'!$D$12*(1-'Assumptions'!I52)+'Assumptions'!$D$13*'Assumptions'!I52)*(1-'Assumptions'!$D$16*(1-'Assumptions'!$D$18/'Assumptions'!$D$19))</x:f>
        <x:v>1980.7</x:v>
      </x:c>
      <x:c r="BB13" s="81" t="n">
        <x:f>('Assumptions'!$D$12*(1-'Assumptions'!I52)+'Assumptions'!$D$13*'Assumptions'!I52)*(1-'Assumptions'!$D$16*(1-'Assumptions'!$D$18/'Assumptions'!$D$19))</x:f>
        <x:v>1980.7</x:v>
      </x:c>
      <x:c r="BC13" s="81" t="n">
        <x:f>('Assumptions'!$D$12*(1-'Assumptions'!I52)+'Assumptions'!$D$13*'Assumptions'!I52)*(1-'Assumptions'!$D$16*(1-'Assumptions'!$D$18/'Assumptions'!$D$19))</x:f>
        <x:v>1980.7</x:v>
      </x:c>
      <x:c r="BD13" s="81" t="n">
        <x:f>('Assumptions'!$D$12*(1-'Assumptions'!I52)+'Assumptions'!$D$13*'Assumptions'!I52)*(1-'Assumptions'!$D$16*(1-'Assumptions'!$D$18/'Assumptions'!$D$19))</x:f>
        <x:v>1980.7</x:v>
      </x:c>
      <x:c r="BE13" s="81" t="n">
        <x:f>('Assumptions'!$D$12*(1-'Assumptions'!I52)+'Assumptions'!$D$13*'Assumptions'!I52)*(1-'Assumptions'!$D$16*(1-'Assumptions'!$D$18/'Assumptions'!$D$19))</x:f>
        <x:v>1980.7</x:v>
      </x:c>
      <x:c r="BF13" s="81" t="n">
        <x:f>('Assumptions'!$D$12*(1-'Assumptions'!I52)+'Assumptions'!$D$13*'Assumptions'!I52)*(1-'Assumptions'!$D$16*(1-'Assumptions'!$D$18/'Assumptions'!$D$19))</x:f>
        <x:v>1980.7</x:v>
      </x:c>
      <x:c r="BG13" s="81" t="n">
        <x:f>('Assumptions'!$D$12*(1-'Assumptions'!I52)+'Assumptions'!$D$13*'Assumptions'!I52)*(1-'Assumptions'!$D$16*(1-'Assumptions'!$D$18/'Assumptions'!$D$19))</x:f>
        <x:v>1980.7</x:v>
      </x:c>
      <x:c r="BH13" s="81" t="n">
        <x:f>('Assumptions'!$D$12*(1-'Assumptions'!I52)+'Assumptions'!$D$13*'Assumptions'!I52)*(1-'Assumptions'!$D$16*(1-'Assumptions'!$D$18/'Assumptions'!$D$19))</x:f>
        <x:v>1980.7</x:v>
      </x:c>
      <x:c r="BI13" s="81" t="n">
        <x:f>('Assumptions'!$D$12*(1-'Assumptions'!I52)+'Assumptions'!$D$13*'Assumptions'!I52)*(1-'Assumptions'!$D$16*(1-'Assumptions'!$D$18/'Assumptions'!$D$19))</x:f>
        <x:v>1980.7</x:v>
      </x:c>
      <x:c r="BJ13" s="81" t="n">
        <x:f>('Assumptions'!$D$12*(1-'Assumptions'!I52)+'Assumptions'!$D$13*'Assumptions'!I52)*(1-'Assumptions'!$D$16*(1-'Assumptions'!$D$18/'Assumptions'!$D$19))</x:f>
        <x:v>1980.7</x:v>
      </x:c>
      <x:c r="BK13" s="81" t="n">
        <x:f>('Assumptions'!$D$12*(1-'Assumptions'!I52)+'Assumptions'!$D$13*'Assumptions'!I52)*(1-'Assumptions'!$D$16*(1-'Assumptions'!$D$18/'Assumptions'!$D$19))</x:f>
        <x:v>1980.7</x:v>
      </x:c>
      <x:c r="BL13" s="81" t="n">
        <x:f>('Assumptions'!$D$12*(1-'Assumptions'!I52)+'Assumptions'!$D$13*'Assumptions'!I52)*(1-'Assumptions'!$D$16*(1-'Assumptions'!$D$18/'Assumptions'!$D$19))</x:f>
        <x:v>1980.7</x:v>
      </x:c>
    </x:row>
    <x:row r="14" ht="23" customHeight="1">
      <x:c r="A14" s="2"/>
      <x:c r="B14" s="2"/>
      <x:c r="C14" s="4" t="str">
        <x:v>India subscription revenue</x:v>
      </x:c>
      <x:c r="D14" s="2"/>
      <x:c r="E14" s="67" t="n">
        <x:f>E12*E13</x:f>
        <x:v>6956.133333333333</x:v>
      </x:c>
      <x:c r="F14" s="67" t="n">
        <x:f>F12*F13</x:f>
        <x:v>20812.750933333333</x:v>
      </x:c>
      <x:c r="G14" s="67" t="n">
        <x:f>G12*G13</x:f>
        <x:v>34558.51559253333</x:v>
      </x:c>
      <x:c r="H14" s="67" t="n">
        <x:f>H12*H13</x:f>
        <x:v>48194.31413445973</x:v>
      </x:c>
      <x:c r="I14" s="67" t="n">
        <x:f>I12*I13</x:f>
        <x:v>61721.02628805073</x:v>
      </x:c>
      <x:c r="J14" s="67" t="n">
        <x:f>J12*J13</x:f>
        <x:v>75139.52474441298</x:v>
      </x:c>
      <x:c r="K14" s="67" t="n">
        <x:f>K12*K13</x:f>
        <x:v>88450.67521312434</x:v>
      </x:c>
      <x:c r="L14" s="67" t="n">
        <x:f>L12*L13</x:f>
        <x:v>101655.33647808601</x:v>
      </x:c>
      <x:c r="M14" s="67" t="n">
        <x:f>M12*M13</x:f>
        <x:v>114754.36045292798</x:v>
      </x:c>
      <x:c r="N14" s="67" t="n">
        <x:f>N12*N13</x:f>
        <x:v>127748.59223597124</x:v>
      </x:c>
      <x:c r="O14" s="67" t="n">
        <x:f>O12*O13</x:f>
        <x:v>140638.87016475011</x:v>
      </x:c>
      <x:c r="P14" s="67" t="n">
        <x:f>P12*P13</x:f>
        <x:v>153426.0258700988</x:v>
      </x:c>
      <x:c r="Q14" s="67" t="n">
        <x:f>Q12*Q13</x:f>
        <x:v>218483.34652156703</x:v>
      </x:c>
      <x:c r="R14" s="83" t="n">
        <x:f>R12*R13</x:f>
        <x:v>317698.97974939446</x:v>
      </x:c>
      <x:c r="S14" s="83" t="n">
        <x:f>S12*S13</x:f>
        <x:v>416120.8879113993</x:v>
      </x:c>
      <x:c r="T14" s="83" t="n">
        <x:f>T12*T13</x:f>
        <x:v>513755.4208081081</x:v>
      </x:c>
      <x:c r="U14" s="83" t="n">
        <x:f>U12*U13</x:f>
        <x:v>610608.8774416432</x:v>
      </x:c>
      <x:c r="V14" s="83" t="n">
        <x:f>V12*V13</x:f>
        <x:v>706687.50642211</x:v>
      </x:c>
      <x:c r="W14" s="83" t="n">
        <x:f>W12*W13</x:f>
        <x:v>801997.5063707331</x:v>
      </x:c>
      <x:c r="X14" s="83" t="n">
        <x:f>X12*X13</x:f>
        <x:v>896545.0263197672</x:v>
      </x:c>
      <x:c r="Y14" s="83" t="n">
        <x:f>Y12*Y13</x:f>
        <x:v>990336.1661092092</x:v>
      </x:c>
      <x:c r="Z14" s="83" t="n">
        <x:f>Z12*Z13</x:f>
        <x:v>1083376.9767803357</x:v>
      </x:c>
      <x:c r="AA14" s="83" t="n">
        <x:f>AA12*AA13</x:f>
        <x:v>1175673.460966093</x:v>
      </x:c>
      <x:c r="AB14" s="83" t="n">
        <x:f>AB12*AB13</x:f>
        <x:v>1267231.5732783643</x:v>
      </x:c>
      <x:c r="AC14" s="83" t="n">
        <x:f>AC12*AC13</x:f>
        <x:v>1511566.4715002505</x:v>
      </x:c>
      <x:c r="AD14" s="83" t="n">
        <x:f>AD12*AD13</x:f>
        <x:v>1838599.9397282484</x:v>
      </x:c>
      <x:c r="AE14" s="83" t="n">
        <x:f>AE12*AE13</x:f>
        <x:v>2163017.140210422</x:v>
      </x:c>
      <x:c r="AF14" s="83" t="n">
        <x:f>AF12*AF13</x:f>
        <x:v>2484839.003088739</x:v>
      </x:c>
      <x:c r="AG14" s="83" t="n">
        <x:f>AG12*AG13</x:f>
        <x:v>2804086.2910640286</x:v>
      </x:c>
      <x:c r="AH14" s="83" t="n">
        <x:f>AH12*AH13</x:f>
        <x:v>3120779.6007355168</x:v>
      </x:c>
      <x:c r="AI14" s="83" t="n">
        <x:f>AI12*AI13</x:f>
        <x:v>3434939.3639296326</x:v>
      </x:c>
      <x:c r="AJ14" s="83" t="n">
        <x:f>AJ12*AJ13</x:f>
        <x:v>3746585.8490181956</x:v>
      </x:c>
      <x:c r="AK14" s="83" t="n">
        <x:f>AK12*AK13</x:f>
        <x:v>4055739.16222605</x:v>
      </x:c>
      <x:c r="AL14" s="83" t="n">
        <x:f>AL12*AL13</x:f>
        <x:v>4362419.248928242</x:v>
      </x:c>
      <x:c r="AM14" s="83" t="n">
        <x:f>AM12*AM13</x:f>
        <x:v>4666645.894936817</x:v>
      </x:c>
      <x:c r="AN14" s="83" t="n">
        <x:f>AN12*AN13</x:f>
        <x:v>4968438.727777323</x:v>
      </x:c>
      <x:c r="AO14" s="83" t="n">
        <x:f>AO12*AO13</x:f>
        <x:v>5663828.257666626</x:v>
      </x:c>
      <x:c r="AP14" s="83" t="n">
        <x:f>AP12*AP13</x:f>
        <x:v>6488082.631605293</x:v>
      </x:c>
      <x:c r="AQ14" s="83" t="n">
        <x:f>AQ12*AQ13</x:f>
        <x:v>7305742.970552452</x:v>
      </x:c>
      <x:c r="AR14" s="83" t="n">
        <x:f>AR12*AR13</x:f>
        <x:v>8116862.026788032</x:v>
      </x:c>
      <x:c r="AS14" s="83" t="n">
        <x:f>AS12*AS13</x:f>
        <x:v>8921492.130573729</x:v>
      </x:c>
      <x:c r="AT14" s="83" t="n">
        <x:f>AT12*AT13</x:f>
        <x:v>9719685.193529138</x:v>
      </x:c>
      <x:c r="AU14" s="83" t="n">
        <x:f>AU12*AU13</x:f>
        <x:v>10511492.711980907</x:v>
      </x:c>
      <x:c r="AV14" s="83" t="n">
        <x:f>AV12*AV13</x:f>
        <x:v>11296965.770285059</x:v>
      </x:c>
      <x:c r="AW14" s="83" t="n">
        <x:f>AW12*AW13</x:f>
        <x:v>12076155.044122778</x:v>
      </x:c>
      <x:c r="AX14" s="83" t="n">
        <x:f>AX12*AX13</x:f>
        <x:v>12849110.803769795</x:v>
      </x:c>
      <x:c r="AY14" s="83" t="n">
        <x:f>AY12*AY13</x:f>
        <x:v>13615882.917339638</x:v>
      </x:c>
      <x:c r="AZ14" s="83" t="n">
        <x:f>AZ12*AZ13</x:f>
        <x:v>14376520.85400092</x:v>
      </x:c>
      <x:c r="BA14" s="83" t="n">
        <x:f>BA12*BA13</x:f>
        <x:v>15955197.26238574</x:v>
      </x:c>
      <x:c r="BB14" s="83" t="n">
        <x:f>BB12*BB13</x:f>
        <x:v>17610185.684286654</x:v>
      </x:c>
      <x:c r="BC14" s="83" t="n">
        <x:f>BC12*BC13</x:f>
        <x:v>19251934.198812358</x:v>
      </x:c>
      <x:c r="BD14" s="83" t="n">
        <x:f>BD12*BD13</x:f>
        <x:v>20880548.72522186</x:v>
      </x:c>
      <x:c r="BE14" s="83" t="n">
        <x:f>BE12*BE13</x:f>
        <x:v>22496134.335420087</x:v>
      </x:c>
      <x:c r="BF14" s="83" t="n">
        <x:f>BF12*BF13</x:f>
        <x:v>24098795.260736722</x:v>
      </x:c>
      <x:c r="BG14" s="83" t="n">
        <x:f>BG12*BG13</x:f>
        <x:v>25688634.89865083</x:v>
      </x:c>
      <x:c r="BH14" s="83" t="n">
        <x:f>BH12*BH13</x:f>
        <x:v>27265755.819461625</x:v>
      </x:c>
      <x:c r="BI14" s="83" t="n">
        <x:f>BI12*BI13</x:f>
        <x:v>28830259.77290593</x:v>
      </x:c>
      <x:c r="BJ14" s="83" t="n">
        <x:f>BJ12*BJ13</x:f>
        <x:v>30382247.694722682</x:v>
      </x:c>
      <x:c r="BK14" s="83" t="n">
        <x:f>BK12*BK13</x:f>
        <x:v>31921819.7131649</x:v>
      </x:c>
      <x:c r="BL14" s="83" t="n">
        <x:f>BL12*BL13</x:f>
        <x:v>33449075.155459587</x:v>
      </x:c>
    </x:row>
    <x:row r="15" ht="23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1"/>
      <x:c r="S15" s="1"/>
      <x:c r="T15" s="1"/>
      <x:c r="U15" s="1"/>
      <x:c r="V15" s="1"/>
      <x:c r="W15" s="1"/>
      <x:c r="X15" s="1"/>
      <x:c r="Y15" s="1"/>
      <x:c r="Z15" s="1"/>
      <x:c r="AA15" s="1"/>
      <x:c r="AB15" s="1"/>
      <x:c r="AC15" s="1"/>
      <x:c r="AD15" s="1"/>
      <x:c r="AE15" s="1"/>
      <x:c r="AF15" s="1"/>
      <x:c r="AG15" s="1"/>
      <x:c r="AH15" s="1"/>
      <x:c r="AI15" s="1"/>
      <x:c r="AJ15" s="1"/>
      <x:c r="AK15" s="1"/>
      <x:c r="AL15" s="1"/>
      <x:c r="AM15" s="1"/>
      <x:c r="AN15" s="1"/>
      <x:c r="AO15" s="1"/>
      <x:c r="AP15" s="1"/>
      <x:c r="AQ15" s="1"/>
      <x:c r="AR15" s="1"/>
      <x:c r="AS15" s="1"/>
      <x:c r="AT15" s="1"/>
      <x:c r="AU15" s="1"/>
      <x:c r="AV15" s="1"/>
      <x:c r="AW15" s="1"/>
      <x:c r="AX15" s="1"/>
      <x:c r="AY15" s="1"/>
      <x:c r="AZ15" s="1"/>
      <x:c r="BA15" s="1"/>
      <x:c r="BB15" s="1"/>
      <x:c r="BC15" s="1"/>
      <x:c r="BD15" s="1"/>
      <x:c r="BE15" s="1"/>
      <x:c r="BF15" s="1"/>
      <x:c r="BG15" s="1"/>
      <x:c r="BH15" s="1"/>
      <x:c r="BI15" s="1"/>
      <x:c r="BJ15" s="1"/>
      <x:c r="BK15" s="1"/>
      <x:c r="BL15" s="1"/>
    </x:row>
    <x:row r="16" ht="23" customHeight="1">
      <x:c r="A16" s="2"/>
      <x:c r="B16" s="2"/>
      <x:c r="C16" s="4" t="str">
        <x:v>UAE opening outlets</x:v>
      </x:c>
      <x:c r="D16" s="2"/>
      <x:c r="E16" s="64" t="n">
        <x:f>'Assumptions'!$D$11</x:f>
        <x:v>0</x:v>
      </x:c>
      <x:c r="F16" s="65" t="n">
        <x:f>E19</x:f>
        <x:v>2</x:v>
      </x:c>
      <x:c r="G16" s="65" t="n">
        <x:f>F19</x:f>
        <x:v>3.986</x:v>
      </x:c>
      <x:c r="H16" s="65" t="n">
        <x:f>G19</x:f>
        <x:v>5.958098000000001</x:v>
      </x:c>
      <x:c r="I16" s="65" t="n">
        <x:f>H19</x:f>
        <x:v>7.916391314</x:v>
      </x:c>
      <x:c r="J16" s="65" t="n">
        <x:f>I19</x:f>
        <x:v>9.860976574802</x:v>
      </x:c>
      <x:c r="K16" s="65" t="n">
        <x:f>J19</x:f>
        <x:v>11.791949738778387</x:v>
      </x:c>
      <x:c r="L16" s="65" t="n">
        <x:f>K19</x:f>
        <x:v>13.709406090606938</x:v>
      </x:c>
      <x:c r="M16" s="65" t="n">
        <x:f>L19</x:f>
        <x:v>15.61344024797269</x:v>
      </x:c>
      <x:c r="N16" s="65" t="n">
        <x:f>M19</x:f>
        <x:v>17.504146166236882</x:v>
      </x:c>
      <x:c r="O16" s="65" t="n">
        <x:f>N19</x:f>
        <x:v>19.381617143073225</x:v>
      </x:c>
      <x:c r="P16" s="65" t="n">
        <x:f>O19</x:f>
        <x:v>21.24594582307171</x:v>
      </x:c>
      <x:c r="Q16" s="65" t="n">
        <x:f>P19</x:f>
        <x:v>23.09722420231021</x:v>
      </x:c>
      <x:c r="R16" s="78" t="n">
        <x:f>Q19</x:f>
        <x:v>34.93554363289404</x:v>
      </x:c>
      <x:c r="S16" s="78" t="n">
        <x:f>R19</x:f>
        <x:v>46.69099482746378</x:v>
      </x:c>
      <x:c r="T16" s="78" t="n">
        <x:f>S19</x:f>
        <x:v>58.36415786367154</x:v>
      </x:c>
      <x:c r="U16" s="78" t="n">
        <x:f>T19</x:f>
        <x:v>69.95560875862584</x:v>
      </x:c>
      <x:c r="V16" s="78" t="n">
        <x:f>U19</x:f>
        <x:v>81.46591949731547</x:v>
      </x:c>
      <x:c r="W16" s="78" t="n">
        <x:f>V19</x:f>
        <x:v>92.89565806083426</x:v>
      </x:c>
      <x:c r="X16" s="78" t="n">
        <x:f>W19</x:f>
        <x:v>104.24538845440843</x:v>
      </x:c>
      <x:c r="Y16" s="78" t="n">
        <x:f>X19</x:f>
        <x:v>115.51567073522757</x:v>
      </x:c>
      <x:c r="Z16" s="78" t="n">
        <x:f>Y19</x:f>
        <x:v>126.70706104008099</x:v>
      </x:c>
      <x:c r="AA16" s="78" t="n">
        <x:f>Z19</x:f>
        <x:v>137.82011161280042</x:v>
      </x:c>
      <x:c r="AB16" s="78" t="n">
        <x:f>AA19</x:f>
        <x:v>148.8553708315108</x:v>
      </x:c>
      <x:c r="AC16" s="78" t="n">
        <x:f>AB19</x:f>
        <x:v>159.81338323569022</x:v>
      </x:c>
      <x:c r="AD16" s="78" t="n">
        <x:f>AC19</x:f>
        <x:v>203.6946895530404</x:v>
      </x:c>
      <x:c r="AE16" s="78" t="n">
        <x:f>AD19</x:f>
        <x:v>247.26882672616912</x:v>
      </x:c>
      <x:c r="AF16" s="78" t="n">
        <x:f>AE19</x:f>
        <x:v>290.5379449390859</x:v>
      </x:c>
      <x:c r="AG16" s="78" t="n">
        <x:f>AF19</x:f>
        <x:v>333.5041793245123</x:v>
      </x:c>
      <x:c r="AH16" s="78" t="n">
        <x:f>AG19</x:f>
        <x:v>376.1696500692407</x:v>
      </x:c>
      <x:c r="AI16" s="78" t="n">
        <x:f>AH19</x:f>
        <x:v>418.53646251875597</x:v>
      </x:c>
      <x:c r="AJ16" s="78" t="n">
        <x:f>AI19</x:f>
        <x:v>460.60670728112467</x:v>
      </x:c>
      <x:c r="AK16" s="78" t="n">
        <x:f>AJ19</x:f>
        <x:v>502.3824603301568</x:v>
      </x:c>
      <x:c r="AL16" s="78" t="n">
        <x:f>AK19</x:f>
        <x:v>543.8657831078458</x:v>
      </x:c>
      <x:c r="AM16" s="78" t="n">
        <x:f>AL19</x:f>
        <x:v>585.0587226260909</x:v>
      </x:c>
      <x:c r="AN16" s="78" t="n">
        <x:f>AM19</x:f>
        <x:v>625.9633115677083</x:v>
      </x:c>
      <x:c r="AO16" s="78" t="n">
        <x:f>AN19</x:f>
        <x:v>666.5815683867343</x:v>
      </x:c>
      <x:c r="AP16" s="78" t="n">
        <x:f>AO19</x:f>
        <x:v>751.9154974080271</x:v>
      </x:c>
      <x:c r="AQ16" s="78" t="n">
        <x:f>AP19</x:f>
        <x:v>836.6520889261709</x:v>
      </x:c>
      <x:c r="AR16" s="78" t="n">
        <x:f>AQ19</x:f>
        <x:v>920.7955243036877</x:v>
      </x:c>
      <x:c r="AS16" s="78" t="n">
        <x:f>AR19</x:f>
        <x:v>1004.3499556335619</x:v>
      </x:c>
      <x:c r="AT16" s="78" t="n">
        <x:f>AS19</x:f>
        <x:v>1087.3195059441268</x:v>
      </x:c>
      <x:c r="AU16" s="78" t="n">
        <x:f>AT19</x:f>
        <x:v>1169.708269402518</x:v>
      </x:c>
      <x:c r="AV16" s="78" t="n">
        <x:f>AU19</x:f>
        <x:v>1251.5203115167003</x:v>
      </x:c>
      <x:c r="AW16" s="78" t="n">
        <x:f>AV19</x:f>
        <x:v>1332.7596693360833</x:v>
      </x:c>
      <x:c r="AX16" s="78" t="n">
        <x:f>AW19</x:f>
        <x:v>1413.4303516507307</x:v>
      </x:c>
      <x:c r="AY16" s="78" t="n">
        <x:f>AX19</x:f>
        <x:v>1493.5363391891756</x:v>
      </x:c>
      <x:c r="AZ16" s="78" t="n">
        <x:f>AY19</x:f>
        <x:v>1573.0815848148513</x:v>
      </x:c>
      <x:c r="BA16" s="78" t="n">
        <x:f>AZ19</x:f>
        <x:v>1652.0700137211475</x:v>
      </x:c>
      <x:c r="BB16" s="78" t="n">
        <x:f>BA19</x:f>
        <x:v>1810.5055236250994</x:v>
      </x:c>
      <x:c r="BC16" s="78" t="n">
        <x:f>BB19</x:f>
        <x:v>1967.8319849597237</x:v>
      </x:c>
      <x:c r="BD16" s="78" t="n">
        <x:f>BC19</x:f>
        <x:v>2124.057161065006</x:v>
      </x:c>
      <x:c r="BE16" s="78" t="n">
        <x:f>BD19</x:f>
        <x:v>2279.188760937551</x:v>
      </x:c>
      <x:c r="BF16" s="78" t="n">
        <x:f>BE19</x:f>
        <x:v>2433.234439610988</x:v>
      </x:c>
      <x:c r="BG16" s="78" t="n">
        <x:f>BF19</x:f>
        <x:v>2586.201798533711</x:v>
      </x:c>
      <x:c r="BH16" s="78" t="n">
        <x:f>BG19</x:f>
        <x:v>2738.0983859439752</x:v>
      </x:c>
      <x:c r="BI16" s="78" t="n">
        <x:f>BH19</x:f>
        <x:v>2888.9316972423676</x:v>
      </x:c>
      <x:c r="BJ16" s="78" t="n">
        <x:f>BI19</x:f>
        <x:v>3038.709175361671</x:v>
      </x:c>
      <x:c r="BK16" s="78" t="n">
        <x:f>BJ19</x:f>
        <x:v>3187.4382111341392</x:v>
      </x:c>
      <x:c r="BL16" s="78" t="n">
        <x:f>BK19</x:f>
        <x:v>3335.1261436562004</x:v>
      </x:c>
    </x:row>
    <x:row r="17" ht="23" customHeight="1">
      <x:c r="A17" s="2"/>
      <x:c r="B17" s="2"/>
      <x:c r="C17" s="4" t="str">
        <x:v>UAE new paid outlets</x:v>
      </x:c>
      <x:c r="D17" s="2"/>
      <x:c r="E17" s="64" t="n">
        <x:f>'Assumptions'!E40</x:f>
        <x:v>2</x:v>
      </x:c>
      <x:c r="F17" s="64" t="n">
        <x:f>'Assumptions'!E40</x:f>
        <x:v>2</x:v>
      </x:c>
      <x:c r="G17" s="64" t="n">
        <x:f>'Assumptions'!E40</x:f>
        <x:v>2</x:v>
      </x:c>
      <x:c r="H17" s="64" t="n">
        <x:f>'Assumptions'!E40</x:f>
        <x:v>2</x:v>
      </x:c>
      <x:c r="I17" s="64" t="n">
        <x:f>'Assumptions'!E40</x:f>
        <x:v>2</x:v>
      </x:c>
      <x:c r="J17" s="64" t="n">
        <x:f>'Assumptions'!E40</x:f>
        <x:v>2</x:v>
      </x:c>
      <x:c r="K17" s="64" t="n">
        <x:f>'Assumptions'!E40</x:f>
        <x:v>2</x:v>
      </x:c>
      <x:c r="L17" s="64" t="n">
        <x:f>'Assumptions'!E40</x:f>
        <x:v>2</x:v>
      </x:c>
      <x:c r="M17" s="64" t="n">
        <x:f>'Assumptions'!E40</x:f>
        <x:v>2</x:v>
      </x:c>
      <x:c r="N17" s="64" t="n">
        <x:f>'Assumptions'!E40</x:f>
        <x:v>2</x:v>
      </x:c>
      <x:c r="O17" s="64" t="n">
        <x:f>'Assumptions'!E40</x:f>
        <x:v>2</x:v>
      </x:c>
      <x:c r="P17" s="64" t="n">
        <x:f>'Assumptions'!E40</x:f>
        <x:v>2</x:v>
      </x:c>
      <x:c r="Q17" s="64" t="n">
        <x:f>'Assumptions'!F40</x:f>
        <x:v>12</x:v>
      </x:c>
      <x:c r="R17" s="79" t="n">
        <x:f>'Assumptions'!F40</x:f>
        <x:v>12</x:v>
      </x:c>
      <x:c r="S17" s="79" t="n">
        <x:f>'Assumptions'!F40</x:f>
        <x:v>12</x:v>
      </x:c>
      <x:c r="T17" s="79" t="n">
        <x:f>'Assumptions'!F40</x:f>
        <x:v>12</x:v>
      </x:c>
      <x:c r="U17" s="79" t="n">
        <x:f>'Assumptions'!F40</x:f>
        <x:v>12</x:v>
      </x:c>
      <x:c r="V17" s="79" t="n">
        <x:f>'Assumptions'!F40</x:f>
        <x:v>12</x:v>
      </x:c>
      <x:c r="W17" s="79" t="n">
        <x:f>'Assumptions'!F40</x:f>
        <x:v>12</x:v>
      </x:c>
      <x:c r="X17" s="79" t="n">
        <x:f>'Assumptions'!F40</x:f>
        <x:v>12</x:v>
      </x:c>
      <x:c r="Y17" s="79" t="n">
        <x:f>'Assumptions'!F40</x:f>
        <x:v>12</x:v>
      </x:c>
      <x:c r="Z17" s="79" t="n">
        <x:f>'Assumptions'!F40</x:f>
        <x:v>12</x:v>
      </x:c>
      <x:c r="AA17" s="79" t="n">
        <x:f>'Assumptions'!F40</x:f>
        <x:v>12</x:v>
      </x:c>
      <x:c r="AB17" s="79" t="n">
        <x:f>'Assumptions'!F40</x:f>
        <x:v>12</x:v>
      </x:c>
      <x:c r="AC17" s="79" t="n">
        <x:f>'Assumptions'!G40</x:f>
        <x:v>45</x:v>
      </x:c>
      <x:c r="AD17" s="79" t="n">
        <x:f>'Assumptions'!G40</x:f>
        <x:v>45</x:v>
      </x:c>
      <x:c r="AE17" s="79" t="n">
        <x:f>'Assumptions'!G40</x:f>
        <x:v>45</x:v>
      </x:c>
      <x:c r="AF17" s="79" t="n">
        <x:f>'Assumptions'!G40</x:f>
        <x:v>45</x:v>
      </x:c>
      <x:c r="AG17" s="79" t="n">
        <x:f>'Assumptions'!G40</x:f>
        <x:v>45</x:v>
      </x:c>
      <x:c r="AH17" s="79" t="n">
        <x:f>'Assumptions'!G40</x:f>
        <x:v>45</x:v>
      </x:c>
      <x:c r="AI17" s="79" t="n">
        <x:f>'Assumptions'!G40</x:f>
        <x:v>45</x:v>
      </x:c>
      <x:c r="AJ17" s="79" t="n">
        <x:f>'Assumptions'!G40</x:f>
        <x:v>45</x:v>
      </x:c>
      <x:c r="AK17" s="79" t="n">
        <x:f>'Assumptions'!G40</x:f>
        <x:v>45</x:v>
      </x:c>
      <x:c r="AL17" s="79" t="n">
        <x:f>'Assumptions'!G40</x:f>
        <x:v>45</x:v>
      </x:c>
      <x:c r="AM17" s="79" t="n">
        <x:f>'Assumptions'!G40</x:f>
        <x:v>45</x:v>
      </x:c>
      <x:c r="AN17" s="79" t="n">
        <x:f>'Assumptions'!G40</x:f>
        <x:v>45</x:v>
      </x:c>
      <x:c r="AO17" s="79" t="n">
        <x:f>'Assumptions'!H40</x:f>
        <x:v>90</x:v>
      </x:c>
      <x:c r="AP17" s="79" t="n">
        <x:f>'Assumptions'!H40</x:f>
        <x:v>90</x:v>
      </x:c>
      <x:c r="AQ17" s="79" t="n">
        <x:f>'Assumptions'!H40</x:f>
        <x:v>90</x:v>
      </x:c>
      <x:c r="AR17" s="79" t="n">
        <x:f>'Assumptions'!H40</x:f>
        <x:v>90</x:v>
      </x:c>
      <x:c r="AS17" s="79" t="n">
        <x:f>'Assumptions'!H40</x:f>
        <x:v>90</x:v>
      </x:c>
      <x:c r="AT17" s="79" t="n">
        <x:f>'Assumptions'!H40</x:f>
        <x:v>90</x:v>
      </x:c>
      <x:c r="AU17" s="79" t="n">
        <x:f>'Assumptions'!H40</x:f>
        <x:v>90</x:v>
      </x:c>
      <x:c r="AV17" s="79" t="n">
        <x:f>'Assumptions'!H40</x:f>
        <x:v>90</x:v>
      </x:c>
      <x:c r="AW17" s="79" t="n">
        <x:f>'Assumptions'!H40</x:f>
        <x:v>90</x:v>
      </x:c>
      <x:c r="AX17" s="79" t="n">
        <x:f>'Assumptions'!H40</x:f>
        <x:v>90</x:v>
      </x:c>
      <x:c r="AY17" s="79" t="n">
        <x:f>'Assumptions'!H40</x:f>
        <x:v>90</x:v>
      </x:c>
      <x:c r="AZ17" s="79" t="n">
        <x:f>'Assumptions'!H40</x:f>
        <x:v>90</x:v>
      </x:c>
      <x:c r="BA17" s="79" t="n">
        <x:f>'Assumptions'!I40</x:f>
        <x:v>170</x:v>
      </x:c>
      <x:c r="BB17" s="79" t="n">
        <x:f>'Assumptions'!I40</x:f>
        <x:v>170</x:v>
      </x:c>
      <x:c r="BC17" s="79" t="n">
        <x:f>'Assumptions'!I40</x:f>
        <x:v>170</x:v>
      </x:c>
      <x:c r="BD17" s="79" t="n">
        <x:f>'Assumptions'!I40</x:f>
        <x:v>170</x:v>
      </x:c>
      <x:c r="BE17" s="79" t="n">
        <x:f>'Assumptions'!I40</x:f>
        <x:v>170</x:v>
      </x:c>
      <x:c r="BF17" s="79" t="n">
        <x:f>'Assumptions'!I40</x:f>
        <x:v>170</x:v>
      </x:c>
      <x:c r="BG17" s="79" t="n">
        <x:f>'Assumptions'!I40</x:f>
        <x:v>170</x:v>
      </x:c>
      <x:c r="BH17" s="79" t="n">
        <x:f>'Assumptions'!I40</x:f>
        <x:v>170</x:v>
      </x:c>
      <x:c r="BI17" s="79" t="n">
        <x:f>'Assumptions'!I40</x:f>
        <x:v>170</x:v>
      </x:c>
      <x:c r="BJ17" s="79" t="n">
        <x:f>'Assumptions'!I40</x:f>
        <x:v>170</x:v>
      </x:c>
      <x:c r="BK17" s="79" t="n">
        <x:f>'Assumptions'!I40</x:f>
        <x:v>170</x:v>
      </x:c>
      <x:c r="BL17" s="79" t="n">
        <x:f>'Assumptions'!I40</x:f>
        <x:v>170</x:v>
      </x:c>
    </x:row>
    <x:row r="18" ht="23" customHeight="1">
      <x:c r="A18" s="2"/>
      <x:c r="B18" s="2"/>
      <x:c r="C18" s="4" t="str">
        <x:v>UAE churned outlets</x:v>
      </x:c>
      <x:c r="D18" s="2"/>
      <x:c r="E18" s="64" t="n">
        <x:f>E16*'Assumptions'!E48</x:f>
        <x:v>0</x:v>
      </x:c>
      <x:c r="F18" s="64" t="n">
        <x:f>F16*'Assumptions'!E48</x:f>
        <x:v>0.014</x:v>
      </x:c>
      <x:c r="G18" s="64" t="n">
        <x:f>G16*'Assumptions'!E48</x:f>
        <x:v>0.027902000000000003</x:v>
      </x:c>
      <x:c r="H18" s="64" t="n">
        <x:f>H16*'Assumptions'!E48</x:f>
        <x:v>0.04170668600000001</x:v>
      </x:c>
      <x:c r="I18" s="64" t="n">
        <x:f>I16*'Assumptions'!E48</x:f>
        <x:v>0.055414739198</x:v>
      </x:c>
      <x:c r="J18" s="64" t="n">
        <x:f>J16*'Assumptions'!E48</x:f>
        <x:v>0.06902683602361401</x:v>
      </x:c>
      <x:c r="K18" s="64" t="n">
        <x:f>K16*'Assumptions'!E48</x:f>
        <x:v>0.08254364817144871</x:v>
      </x:c>
      <x:c r="L18" s="64" t="n">
        <x:f>L16*'Assumptions'!E48</x:f>
        <x:v>0.09596584263424857</x:v>
      </x:c>
      <x:c r="M18" s="64" t="n">
        <x:f>M16*'Assumptions'!E48</x:f>
        <x:v>0.10929408173580883</x:v>
      </x:c>
      <x:c r="N18" s="64" t="n">
        <x:f>N16*'Assumptions'!E48</x:f>
        <x:v>0.12252902316365819</x:v>
      </x:c>
      <x:c r="O18" s="64" t="n">
        <x:f>O16*'Assumptions'!E48</x:f>
        <x:v>0.13567132000151258</x:v>
      </x:c>
      <x:c r="P18" s="64" t="n">
        <x:f>P16*'Assumptions'!E48</x:f>
        <x:v>0.14872162076150197</x:v>
      </x:c>
      <x:c r="Q18" s="64" t="n">
        <x:f>Q16*'Assumptions'!F48</x:f>
        <x:v>0.16168056941617145</x:v>
      </x:c>
      <x:c r="R18" s="79" t="n">
        <x:f>R16*'Assumptions'!F48</x:f>
        <x:v>0.24454880543025828</x:v>
      </x:c>
      <x:c r="S18" s="79" t="n">
        <x:f>S16*'Assumptions'!F48</x:f>
        <x:v>0.32683696379224647</x:v>
      </x:c>
      <x:c r="T18" s="79" t="n">
        <x:f>T16*'Assumptions'!F48</x:f>
        <x:v>0.40854910504570074</x:v>
      </x:c>
      <x:c r="U18" s="79" t="n">
        <x:f>U16*'Assumptions'!F48</x:f>
        <x:v>0.48968926131038093</x:v>
      </x:c>
      <x:c r="V18" s="79" t="n">
        <x:f>V16*'Assumptions'!F48</x:f>
        <x:v>0.5702614364812083</x:v>
      </x:c>
      <x:c r="W18" s="79" t="n">
        <x:f>W16*'Assumptions'!F48</x:f>
        <x:v>0.6502696064258399</x:v>
      </x:c>
      <x:c r="X18" s="79" t="n">
        <x:f>X16*'Assumptions'!F48</x:f>
        <x:v>0.729717719180859</x:v>
      </x:c>
      <x:c r="Y18" s="79" t="n">
        <x:f>Y16*'Assumptions'!F48</x:f>
        <x:v>0.808609695146593</x:v>
      </x:c>
      <x:c r="Z18" s="79" t="n">
        <x:f>Z16*'Assumptions'!F48</x:f>
        <x:v>0.8869494272805669</x:v>
      </x:c>
      <x:c r="AA18" s="79" t="n">
        <x:f>AA16*'Assumptions'!F48</x:f>
        <x:v>0.9647407812896029</x:v>
      </x:c>
      <x:c r="AB18" s="79" t="n">
        <x:f>AB16*'Assumptions'!F48</x:f>
        <x:v>1.0419875958205758</x:v>
      </x:c>
      <x:c r="AC18" s="79" t="n">
        <x:f>AC16*'Assumptions'!G48</x:f>
        <x:v>1.1186936826498315</x:v>
      </x:c>
      <x:c r="AD18" s="79" t="n">
        <x:f>AD16*'Assumptions'!G48</x:f>
        <x:v>1.425862826871283</x:v>
      </x:c>
      <x:c r="AE18" s="79" t="n">
        <x:f>AE16*'Assumptions'!G48</x:f>
        <x:v>1.7308817870831839</x:v>
      </x:c>
      <x:c r="AF18" s="79" t="n">
        <x:f>AF16*'Assumptions'!G48</x:f>
        <x:v>2.033765614573601</x:v>
      </x:c>
      <x:c r="AG18" s="79" t="n">
        <x:f>AG16*'Assumptions'!G48</x:f>
        <x:v>2.334529255271586</x:v>
      </x:c>
      <x:c r="AH18" s="79" t="n">
        <x:f>AH16*'Assumptions'!G48</x:f>
        <x:v>2.633187550484685</x:v>
      </x:c>
      <x:c r="AI18" s="79" t="n">
        <x:f>AI16*'Assumptions'!G48</x:f>
        <x:v>2.9297552376312916</x:v>
      </x:c>
      <x:c r="AJ18" s="79" t="n">
        <x:f>AJ16*'Assumptions'!G48</x:f>
        <x:v>3.224246950967873</x:v>
      </x:c>
      <x:c r="AK18" s="79" t="n">
        <x:f>AK16*'Assumptions'!G48</x:f>
        <x:v>3.5166772223110976</x:v>
      </x:c>
      <x:c r="AL18" s="79" t="n">
        <x:f>AL16*'Assumptions'!G48</x:f>
        <x:v>3.8070604817549207</x:v>
      </x:c>
      <x:c r="AM18" s="79" t="n">
        <x:f>AM16*'Assumptions'!G48</x:f>
        <x:v>4.095411058382637</x:v>
      </x:c>
      <x:c r="AN18" s="79" t="n">
        <x:f>AN16*'Assumptions'!G48</x:f>
        <x:v>4.381743180973958</x:v>
      </x:c>
      <x:c r="AO18" s="79" t="n">
        <x:f>AO16*'Assumptions'!H48</x:f>
        <x:v>4.66607097870714</x:v>
      </x:c>
      <x:c r="AP18" s="79" t="n">
        <x:f>AP16*'Assumptions'!H48</x:f>
        <x:v>5.26340848185619</x:v>
      </x:c>
      <x:c r="AQ18" s="79" t="n">
        <x:f>AQ16*'Assumptions'!H48</x:f>
        <x:v>5.856564622483196</x:v>
      </x:c>
      <x:c r="AR18" s="79" t="n">
        <x:f>AR16*'Assumptions'!H48</x:f>
        <x:v>6.445568670125814</x:v>
      </x:c>
      <x:c r="AS18" s="79" t="n">
        <x:f>AS16*'Assumptions'!H48</x:f>
        <x:v>7.030449689434933</x:v>
      </x:c>
      <x:c r="AT18" s="79" t="n">
        <x:f>AT16*'Assumptions'!H48</x:f>
        <x:v>7.611236541608888</x:v>
      </x:c>
      <x:c r="AU18" s="79" t="n">
        <x:f>AU16*'Assumptions'!H48</x:f>
        <x:v>8.187957885817626</x:v>
      </x:c>
      <x:c r="AV18" s="79" t="n">
        <x:f>AV16*'Assumptions'!H48</x:f>
        <x:v>8.760642180616902</x:v>
      </x:c>
      <x:c r="AW18" s="79" t="n">
        <x:f>AW16*'Assumptions'!H48</x:f>
        <x:v>9.329317685352583</x:v>
      </x:c>
      <x:c r="AX18" s="79" t="n">
        <x:f>AX16*'Assumptions'!H48</x:f>
        <x:v>9.894012461555116</x:v>
      </x:c>
      <x:c r="AY18" s="79" t="n">
        <x:f>AY16*'Assumptions'!H48</x:f>
        <x:v>10.45475437432423</x:v>
      </x:c>
      <x:c r="AZ18" s="79" t="n">
        <x:f>AZ16*'Assumptions'!H48</x:f>
        <x:v>11.01157109370396</x:v>
      </x:c>
      <x:c r="BA18" s="79" t="n">
        <x:f>BA16*'Assumptions'!I48</x:f>
        <x:v>11.564490096048033</x:v>
      </x:c>
      <x:c r="BB18" s="79" t="n">
        <x:f>BB16*'Assumptions'!I48</x:f>
        <x:v>12.673538665375697</x:v>
      </x:c>
      <x:c r="BC18" s="79" t="n">
        <x:f>BC16*'Assumptions'!I48</x:f>
        <x:v>13.774823894718066</x:v>
      </x:c>
      <x:c r="BD18" s="79" t="n">
        <x:f>BD16*'Assumptions'!I48</x:f>
        <x:v>14.868400127455041</x:v>
      </x:c>
      <x:c r="BE18" s="79" t="n">
        <x:f>BE16*'Assumptions'!I48</x:f>
        <x:v>15.954321326562855</x:v>
      </x:c>
      <x:c r="BF18" s="79" t="n">
        <x:f>BF16*'Assumptions'!I48</x:f>
        <x:v>17.032641077276917</x:v>
      </x:c>
      <x:c r="BG18" s="79" t="n">
        <x:f>BG16*'Assumptions'!I48</x:f>
        <x:v>18.103412589735978</x:v>
      </x:c>
      <x:c r="BH18" s="79" t="n">
        <x:f>BH16*'Assumptions'!I48</x:f>
        <x:v>19.16668870160783</x:v>
      </x:c>
      <x:c r="BI18" s="79" t="n">
        <x:f>BI16*'Assumptions'!I48</x:f>
        <x:v>20.222521880696572</x:v>
      </x:c>
      <x:c r="BJ18" s="79" t="n">
        <x:f>BJ16*'Assumptions'!I48</x:f>
        <x:v>21.270964227531696</x:v>
      </x:c>
      <x:c r="BK18" s="79" t="n">
        <x:f>BK16*'Assumptions'!I48</x:f>
        <x:v>22.312067477938974</x:v>
      </x:c>
      <x:c r="BL18" s="79" t="n">
        <x:f>BL16*'Assumptions'!I48</x:f>
        <x:v>23.345883005593404</x:v>
      </x:c>
    </x:row>
    <x:row r="19" ht="23" customHeight="1">
      <x:c r="A19" s="2"/>
      <x:c r="B19" s="2"/>
      <x:c r="C19" s="106" t="str">
        <x:v>UAE closing outlets</x:v>
      </x:c>
      <x:c r="D19" s="107"/>
      <x:c r="E19" s="108" t="n">
        <x:f>E16+E17-E18</x:f>
        <x:v>2</x:v>
      </x:c>
      <x:c r="F19" s="108" t="n">
        <x:f>F16+F17-F18</x:f>
        <x:v>3.986</x:v>
      </x:c>
      <x:c r="G19" s="108" t="n">
        <x:f>G16+G17-G18</x:f>
        <x:v>5.958098000000001</x:v>
      </x:c>
      <x:c r="H19" s="108" t="n">
        <x:f>H16+H17-H18</x:f>
        <x:v>7.916391314</x:v>
      </x:c>
      <x:c r="I19" s="108" t="n">
        <x:f>I16+I17-I18</x:f>
        <x:v>9.860976574802</x:v>
      </x:c>
      <x:c r="J19" s="108" t="n">
        <x:f>J16+J17-J18</x:f>
        <x:v>11.791949738778387</x:v>
      </x:c>
      <x:c r="K19" s="108" t="n">
        <x:f>K16+K17-K18</x:f>
        <x:v>13.709406090606938</x:v>
      </x:c>
      <x:c r="L19" s="108" t="n">
        <x:f>L16+L17-L18</x:f>
        <x:v>15.61344024797269</x:v>
      </x:c>
      <x:c r="M19" s="108" t="n">
        <x:f>M16+M17-M18</x:f>
        <x:v>17.504146166236882</x:v>
      </x:c>
      <x:c r="N19" s="108" t="n">
        <x:f>N16+N17-N18</x:f>
        <x:v>19.381617143073225</x:v>
      </x:c>
      <x:c r="O19" s="108" t="n">
        <x:f>O16+O17-O18</x:f>
        <x:v>21.24594582307171</x:v>
      </x:c>
      <x:c r="P19" s="108" t="n">
        <x:f>P16+P17-P18</x:f>
        <x:v>23.09722420231021</x:v>
      </x:c>
      <x:c r="Q19" s="108" t="n">
        <x:f>Q16+Q17-Q18</x:f>
        <x:v>34.93554363289404</x:v>
      </x:c>
      <x:c r="R19" s="109" t="n">
        <x:f>R16+R17-R18</x:f>
        <x:v>46.69099482746378</x:v>
      </x:c>
      <x:c r="S19" s="109" t="n">
        <x:f>S16+S17-S18</x:f>
        <x:v>58.36415786367154</x:v>
      </x:c>
      <x:c r="T19" s="109" t="n">
        <x:f>T16+T17-T18</x:f>
        <x:v>69.95560875862584</x:v>
      </x:c>
      <x:c r="U19" s="109" t="n">
        <x:f>U16+U17-U18</x:f>
        <x:v>81.46591949731547</x:v>
      </x:c>
      <x:c r="V19" s="109" t="n">
        <x:f>V16+V17-V18</x:f>
        <x:v>92.89565806083426</x:v>
      </x:c>
      <x:c r="W19" s="109" t="n">
        <x:f>W16+W17-W18</x:f>
        <x:v>104.24538845440843</x:v>
      </x:c>
      <x:c r="X19" s="109" t="n">
        <x:f>X16+X17-X18</x:f>
        <x:v>115.51567073522757</x:v>
      </x:c>
      <x:c r="Y19" s="109" t="n">
        <x:f>Y16+Y17-Y18</x:f>
        <x:v>126.70706104008099</x:v>
      </x:c>
      <x:c r="Z19" s="109" t="n">
        <x:f>Z16+Z17-Z18</x:f>
        <x:v>137.82011161280042</x:v>
      </x:c>
      <x:c r="AA19" s="109" t="n">
        <x:f>AA16+AA17-AA18</x:f>
        <x:v>148.8553708315108</x:v>
      </x:c>
      <x:c r="AB19" s="109" t="n">
        <x:f>AB16+AB17-AB18</x:f>
        <x:v>159.81338323569022</x:v>
      </x:c>
      <x:c r="AC19" s="109" t="n">
        <x:f>AC16+AC17-AC18</x:f>
        <x:v>203.6946895530404</x:v>
      </x:c>
      <x:c r="AD19" s="109" t="n">
        <x:f>AD16+AD17-AD18</x:f>
        <x:v>247.26882672616912</x:v>
      </x:c>
      <x:c r="AE19" s="109" t="n">
        <x:f>AE16+AE17-AE18</x:f>
        <x:v>290.5379449390859</x:v>
      </x:c>
      <x:c r="AF19" s="109" t="n">
        <x:f>AF16+AF17-AF18</x:f>
        <x:v>333.5041793245123</x:v>
      </x:c>
      <x:c r="AG19" s="109" t="n">
        <x:f>AG16+AG17-AG18</x:f>
        <x:v>376.1696500692407</x:v>
      </x:c>
      <x:c r="AH19" s="109" t="n">
        <x:f>AH16+AH17-AH18</x:f>
        <x:v>418.53646251875597</x:v>
      </x:c>
      <x:c r="AI19" s="109" t="n">
        <x:f>AI16+AI17-AI18</x:f>
        <x:v>460.60670728112467</x:v>
      </x:c>
      <x:c r="AJ19" s="109" t="n">
        <x:f>AJ16+AJ17-AJ18</x:f>
        <x:v>502.3824603301568</x:v>
      </x:c>
      <x:c r="AK19" s="109" t="n">
        <x:f>AK16+AK17-AK18</x:f>
        <x:v>543.8657831078458</x:v>
      </x:c>
      <x:c r="AL19" s="109" t="n">
        <x:f>AL16+AL17-AL18</x:f>
        <x:v>585.0587226260909</x:v>
      </x:c>
      <x:c r="AM19" s="109" t="n">
        <x:f>AM16+AM17-AM18</x:f>
        <x:v>625.9633115677083</x:v>
      </x:c>
      <x:c r="AN19" s="109" t="n">
        <x:f>AN16+AN17-AN18</x:f>
        <x:v>666.5815683867343</x:v>
      </x:c>
      <x:c r="AO19" s="109" t="n">
        <x:f>AO16+AO17-AO18</x:f>
        <x:v>751.9154974080271</x:v>
      </x:c>
      <x:c r="AP19" s="109" t="n">
        <x:f>AP16+AP17-AP18</x:f>
        <x:v>836.6520889261709</x:v>
      </x:c>
      <x:c r="AQ19" s="109" t="n">
        <x:f>AQ16+AQ17-AQ18</x:f>
        <x:v>920.7955243036877</x:v>
      </x:c>
      <x:c r="AR19" s="109" t="n">
        <x:f>AR16+AR17-AR18</x:f>
        <x:v>1004.3499556335619</x:v>
      </x:c>
      <x:c r="AS19" s="109" t="n">
        <x:f>AS16+AS17-AS18</x:f>
        <x:v>1087.3195059441268</x:v>
      </x:c>
      <x:c r="AT19" s="109" t="n">
        <x:f>AT16+AT17-AT18</x:f>
        <x:v>1169.708269402518</x:v>
      </x:c>
      <x:c r="AU19" s="109" t="n">
        <x:f>AU16+AU17-AU18</x:f>
        <x:v>1251.5203115167003</x:v>
      </x:c>
      <x:c r="AV19" s="109" t="n">
        <x:f>AV16+AV17-AV18</x:f>
        <x:v>1332.7596693360833</x:v>
      </x:c>
      <x:c r="AW19" s="109" t="n">
        <x:f>AW16+AW17-AW18</x:f>
        <x:v>1413.4303516507307</x:v>
      </x:c>
      <x:c r="AX19" s="109" t="n">
        <x:f>AX16+AX17-AX18</x:f>
        <x:v>1493.5363391891756</x:v>
      </x:c>
      <x:c r="AY19" s="109" t="n">
        <x:f>AY16+AY17-AY18</x:f>
        <x:v>1573.0815848148513</x:v>
      </x:c>
      <x:c r="AZ19" s="109" t="n">
        <x:f>AZ16+AZ17-AZ18</x:f>
        <x:v>1652.0700137211475</x:v>
      </x:c>
      <x:c r="BA19" s="109" t="n">
        <x:f>BA16+BA17-BA18</x:f>
        <x:v>1810.5055236250994</x:v>
      </x:c>
      <x:c r="BB19" s="109" t="n">
        <x:f>BB16+BB17-BB18</x:f>
        <x:v>1967.8319849597237</x:v>
      </x:c>
      <x:c r="BC19" s="109" t="n">
        <x:f>BC16+BC17-BC18</x:f>
        <x:v>2124.057161065006</x:v>
      </x:c>
      <x:c r="BD19" s="109" t="n">
        <x:f>BD16+BD17-BD18</x:f>
        <x:v>2279.188760937551</x:v>
      </x:c>
      <x:c r="BE19" s="109" t="n">
        <x:f>BE16+BE17-BE18</x:f>
        <x:v>2433.234439610988</x:v>
      </x:c>
      <x:c r="BF19" s="109" t="n">
        <x:f>BF16+BF17-BF18</x:f>
        <x:v>2586.201798533711</x:v>
      </x:c>
      <x:c r="BG19" s="109" t="n">
        <x:f>BG16+BG17-BG18</x:f>
        <x:v>2738.0983859439752</x:v>
      </x:c>
      <x:c r="BH19" s="109" t="n">
        <x:f>BH16+BH17-BH18</x:f>
        <x:v>2888.9316972423676</x:v>
      </x:c>
      <x:c r="BI19" s="109" t="n">
        <x:f>BI16+BI17-BI18</x:f>
        <x:v>3038.709175361671</x:v>
      </x:c>
      <x:c r="BJ19" s="109" t="n">
        <x:f>BJ16+BJ17-BJ18</x:f>
        <x:v>3187.4382111341392</x:v>
      </x:c>
      <x:c r="BK19" s="109" t="n">
        <x:f>BK16+BK17-BK18</x:f>
        <x:v>3335.1261436562004</x:v>
      </x:c>
      <x:c r="BL19" s="109" t="n">
        <x:f>BL16+BL17-BL18</x:f>
        <x:v>3481.780260650607</x:v>
      </x:c>
    </x:row>
    <x:row r="20" ht="23" customHeight="1">
      <x:c r="A20" s="2"/>
      <x:c r="B20" s="2"/>
      <x:c r="C20" s="4" t="str">
        <x:v>UAE average billable outlets</x:v>
      </x:c>
      <x:c r="D20" s="2"/>
      <x:c r="E20" s="65" t="n">
        <x:f>AVERAGE(E16,E19)</x:f>
        <x:v>1</x:v>
      </x:c>
      <x:c r="F20" s="65" t="n">
        <x:f>AVERAGE(F16,F19)</x:f>
        <x:v>2.9930000000000003</x:v>
      </x:c>
      <x:c r="G20" s="65" t="n">
        <x:f>AVERAGE(G16,G19)</x:f>
        <x:v>4.972049</x:v>
      </x:c>
      <x:c r="H20" s="65" t="n">
        <x:f>AVERAGE(H16,H19)</x:f>
        <x:v>6.937244657000001</x:v>
      </x:c>
      <x:c r="I20" s="65" t="n">
        <x:f>AVERAGE(I16,I19)</x:f>
        <x:v>8.888683944401</x:v>
      </x:c>
      <x:c r="J20" s="65" t="n">
        <x:f>AVERAGE(J16,J19)</x:f>
        <x:v>10.826463156790194</x:v>
      </x:c>
      <x:c r="K20" s="65" t="n">
        <x:f>AVERAGE(K16,K19)</x:f>
        <x:v>12.750677914692663</x:v>
      </x:c>
      <x:c r="L20" s="65" t="n">
        <x:f>AVERAGE(L16,L19)</x:f>
        <x:v>14.661423169289815</x:v>
      </x:c>
      <x:c r="M20" s="65" t="n">
        <x:f>AVERAGE(M16,M19)</x:f>
        <x:v>16.558793207104785</x:v>
      </x:c>
      <x:c r="N20" s="65" t="n">
        <x:f>AVERAGE(N16,N19)</x:f>
        <x:v>18.442881654655054</x:v>
      </x:c>
      <x:c r="O20" s="65" t="n">
        <x:f>AVERAGE(O16,O19)</x:f>
        <x:v>20.313781483072468</x:v>
      </x:c>
      <x:c r="P20" s="65" t="n">
        <x:f>AVERAGE(P16,P19)</x:f>
        <x:v>22.17158501269096</x:v>
      </x:c>
      <x:c r="Q20" s="65" t="n">
        <x:f>AVERAGE(Q16,Q19)</x:f>
        <x:v>29.016383917602123</x:v>
      </x:c>
      <x:c r="R20" s="78" t="n">
        <x:f>AVERAGE(R16,R19)</x:f>
        <x:v>40.81326923017891</x:v>
      </x:c>
      <x:c r="S20" s="78" t="n">
        <x:f>AVERAGE(S16,S19)</x:f>
        <x:v>52.52757634556766</x:v>
      </x:c>
      <x:c r="T20" s="78" t="n">
        <x:f>AVERAGE(T16,T19)</x:f>
        <x:v>64.15988331114869</x:v>
      </x:c>
      <x:c r="U20" s="78" t="n">
        <x:f>AVERAGE(U16,U19)</x:f>
        <x:v>75.71076412797066</x:v>
      </x:c>
      <x:c r="V20" s="78" t="n">
        <x:f>AVERAGE(V16,V19)</x:f>
        <x:v>87.18078877907487</x:v>
      </x:c>
      <x:c r="W20" s="78" t="n">
        <x:f>AVERAGE(W16,W19)</x:f>
        <x:v>98.57052325762135</x:v>
      </x:c>
      <x:c r="X20" s="78" t="n">
        <x:f>AVERAGE(X16,X19)</x:f>
        <x:v>109.880529594818</x:v>
      </x:c>
      <x:c r="Y20" s="78" t="n">
        <x:f>AVERAGE(Y16,Y19)</x:f>
        <x:v>121.11136588765427</x:v>
      </x:c>
      <x:c r="Z20" s="78" t="n">
        <x:f>AVERAGE(Z16,Z19)</x:f>
        <x:v>132.2635863264407</x:v>
      </x:c>
      <x:c r="AA20" s="78" t="n">
        <x:f>AVERAGE(AA16,AA19)</x:f>
        <x:v>143.3377412221556</x:v>
      </x:c>
      <x:c r="AB20" s="78" t="n">
        <x:f>AVERAGE(AB16,AB19)</x:f>
        <x:v>154.3343770336005</x:v>
      </x:c>
      <x:c r="AC20" s="78" t="n">
        <x:f>AVERAGE(AC16,AC19)</x:f>
        <x:v>181.7540363943653</x:v>
      </x:c>
      <x:c r="AD20" s="78" t="n">
        <x:f>AVERAGE(AD16,AD19)</x:f>
        <x:v>225.48175813960478</x:v>
      </x:c>
      <x:c r="AE20" s="78" t="n">
        <x:f>AVERAGE(AE16,AE19)</x:f>
        <x:v>268.9033858326275</x:v>
      </x:c>
      <x:c r="AF20" s="78" t="n">
        <x:f>AVERAGE(AF16,AF19)</x:f>
        <x:v>312.0210621317991</x:v>
      </x:c>
      <x:c r="AG20" s="78" t="n">
        <x:f>AVERAGE(AG16,AG19)</x:f>
        <x:v>354.8369146968765</x:v>
      </x:c>
      <x:c r="AH20" s="78" t="n">
        <x:f>AVERAGE(AH16,AH19)</x:f>
        <x:v>397.3530562939983</x:v>
      </x:c>
      <x:c r="AI20" s="78" t="n">
        <x:f>AVERAGE(AI16,AI19)</x:f>
        <x:v>439.5715848999403</x:v>
      </x:c>
      <x:c r="AJ20" s="78" t="n">
        <x:f>AVERAGE(AJ16,AJ19)</x:f>
        <x:v>481.49458380564073</x:v>
      </x:c>
      <x:c r="AK20" s="78" t="n">
        <x:f>AVERAGE(AK16,AK19)</x:f>
        <x:v>523.1241217190013</x:v>
      </x:c>
      <x:c r="AL20" s="78" t="n">
        <x:f>AVERAGE(AL16,AL19)</x:f>
        <x:v>564.4622528669684</x:v>
      </x:c>
      <x:c r="AM20" s="78" t="n">
        <x:f>AVERAGE(AM16,AM19)</x:f>
        <x:v>605.5110170968996</x:v>
      </x:c>
      <x:c r="AN20" s="78" t="n">
        <x:f>AVERAGE(AN16,AN19)</x:f>
        <x:v>646.2724399772212</x:v>
      </x:c>
      <x:c r="AO20" s="78" t="n">
        <x:f>AVERAGE(AO16,AO19)</x:f>
        <x:v>709.2485328973808</x:v>
      </x:c>
      <x:c r="AP20" s="78" t="n">
        <x:f>AVERAGE(AP16,AP19)</x:f>
        <x:v>794.283793167099</x:v>
      </x:c>
      <x:c r="AQ20" s="78" t="n">
        <x:f>AVERAGE(AQ16,AQ19)</x:f>
        <x:v>878.7238066149293</x:v>
      </x:c>
      <x:c r="AR20" s="78" t="n">
        <x:f>AVERAGE(AR16,AR19)</x:f>
        <x:v>962.5727399686248</x:v>
      </x:c>
      <x:c r="AS20" s="78" t="n">
        <x:f>AVERAGE(AS16,AS19)</x:f>
        <x:v>1045.8347307888444</x:v>
      </x:c>
      <x:c r="AT20" s="78" t="n">
        <x:f>AVERAGE(AT16,AT19)</x:f>
        <x:v>1128.5138876733224</x:v>
      </x:c>
      <x:c r="AU20" s="78" t="n">
        <x:f>AVERAGE(AU16,AU19)</x:f>
        <x:v>1210.614290459609</x:v>
      </x:c>
      <x:c r="AV20" s="78" t="n">
        <x:f>AVERAGE(AV16,AV19)</x:f>
        <x:v>1292.1399904263917</x:v>
      </x:c>
      <x:c r="AW20" s="78" t="n">
        <x:f>AVERAGE(AW16,AW19)</x:f>
        <x:v>1373.095010493407</x:v>
      </x:c>
      <x:c r="AX20" s="78" t="n">
        <x:f>AVERAGE(AX16,AX19)</x:f>
        <x:v>1453.4833454199531</x:v>
      </x:c>
      <x:c r="AY20" s="78" t="n">
        <x:f>AVERAGE(AY16,AY19)</x:f>
        <x:v>1533.3089620020135</x:v>
      </x:c>
      <x:c r="AZ20" s="78" t="n">
        <x:f>AVERAGE(AZ16,AZ19)</x:f>
        <x:v>1612.5757992679994</x:v>
      </x:c>
      <x:c r="BA20" s="78" t="n">
        <x:f>AVERAGE(BA16,BA19)</x:f>
        <x:v>1731.2877686731235</x:v>
      </x:c>
      <x:c r="BB20" s="78" t="n">
        <x:f>AVERAGE(BB16,BB19)</x:f>
        <x:v>1889.1687542924114</x:v>
      </x:c>
      <x:c r="BC20" s="78" t="n">
        <x:f>AVERAGE(BC16,BC19)</x:f>
        <x:v>2045.9445730123648</x:v>
      </x:c>
      <x:c r="BD20" s="78" t="n">
        <x:f>AVERAGE(BD16,BD19)</x:f>
        <x:v>2201.6229610012783</x:v>
      </x:c>
      <x:c r="BE20" s="78" t="n">
        <x:f>AVERAGE(BE16,BE19)</x:f>
        <x:v>2356.2116002742696</x:v>
      </x:c>
      <x:c r="BF20" s="78" t="n">
        <x:f>AVERAGE(BF16,BF19)</x:f>
        <x:v>2509.7181190723495</x:v>
      </x:c>
      <x:c r="BG20" s="78" t="n">
        <x:f>AVERAGE(BG16,BG19)</x:f>
        <x:v>2662.150092238843</x:v>
      </x:c>
      <x:c r="BH20" s="78" t="n">
        <x:f>AVERAGE(BH16,BH19)</x:f>
        <x:v>2813.515041593171</x:v>
      </x:c>
      <x:c r="BI20" s="78" t="n">
        <x:f>AVERAGE(BI16,BI19)</x:f>
        <x:v>2963.8204363020195</x:v>
      </x:c>
      <x:c r="BJ20" s="78" t="n">
        <x:f>AVERAGE(BJ16,BJ19)</x:f>
        <x:v>3113.073693247905</x:v>
      </x:c>
      <x:c r="BK20" s="78" t="n">
        <x:f>AVERAGE(BK16,BK19)</x:f>
        <x:v>3261.28217739517</x:v>
      </x:c>
      <x:c r="BL20" s="78" t="n">
        <x:f>AVERAGE(BL16,BL19)</x:f>
        <x:v>3408.4532021534037</x:v>
      </x:c>
    </x:row>
    <x:row r="21" ht="23" customHeight="1">
      <x:c r="A21" s="2"/>
      <x:c r="B21" s="2"/>
      <x:c r="C21" s="4" t="str">
        <x:v>UAE net monthly ARPU (AED)</x:v>
      </x:c>
      <x:c r="D21" s="2"/>
      <x:c r="E21" s="64" t="n">
        <x:f>('Assumptions'!$D$14*(1-'Assumptions'!E56)+'Assumptions'!$D$15*'Assumptions'!E56)*(1-'Assumptions'!$D$17*(1-'Assumptions'!$D$18/'Assumptions'!$D$19))</x:f>
        <x:v>203.775</x:v>
      </x:c>
      <x:c r="F21" s="64" t="n">
        <x:f>('Assumptions'!$D$14*(1-'Assumptions'!E56)+'Assumptions'!$D$15*'Assumptions'!E56)*(1-'Assumptions'!$D$17*(1-'Assumptions'!$D$18/'Assumptions'!$D$19))</x:f>
        <x:v>203.775</x:v>
      </x:c>
      <x:c r="G21" s="64" t="n">
        <x:f>('Assumptions'!$D$14*(1-'Assumptions'!E56)+'Assumptions'!$D$15*'Assumptions'!E56)*(1-'Assumptions'!$D$17*(1-'Assumptions'!$D$18/'Assumptions'!$D$19))</x:f>
        <x:v>203.775</x:v>
      </x:c>
      <x:c r="H21" s="64" t="n">
        <x:f>('Assumptions'!$D$14*(1-'Assumptions'!E56)+'Assumptions'!$D$15*'Assumptions'!E56)*(1-'Assumptions'!$D$17*(1-'Assumptions'!$D$18/'Assumptions'!$D$19))</x:f>
        <x:v>203.775</x:v>
      </x:c>
      <x:c r="I21" s="64" t="n">
        <x:f>('Assumptions'!$D$14*(1-'Assumptions'!E56)+'Assumptions'!$D$15*'Assumptions'!E56)*(1-'Assumptions'!$D$17*(1-'Assumptions'!$D$18/'Assumptions'!$D$19))</x:f>
        <x:v>203.775</x:v>
      </x:c>
      <x:c r="J21" s="64" t="n">
        <x:f>('Assumptions'!$D$14*(1-'Assumptions'!E56)+'Assumptions'!$D$15*'Assumptions'!E56)*(1-'Assumptions'!$D$17*(1-'Assumptions'!$D$18/'Assumptions'!$D$19))</x:f>
        <x:v>203.775</x:v>
      </x:c>
      <x:c r="K21" s="64" t="n">
        <x:f>('Assumptions'!$D$14*(1-'Assumptions'!E56)+'Assumptions'!$D$15*'Assumptions'!E56)*(1-'Assumptions'!$D$17*(1-'Assumptions'!$D$18/'Assumptions'!$D$19))</x:f>
        <x:v>203.775</x:v>
      </x:c>
      <x:c r="L21" s="64" t="n">
        <x:f>('Assumptions'!$D$14*(1-'Assumptions'!E56)+'Assumptions'!$D$15*'Assumptions'!E56)*(1-'Assumptions'!$D$17*(1-'Assumptions'!$D$18/'Assumptions'!$D$19))</x:f>
        <x:v>203.775</x:v>
      </x:c>
      <x:c r="M21" s="64" t="n">
        <x:f>('Assumptions'!$D$14*(1-'Assumptions'!E56)+'Assumptions'!$D$15*'Assumptions'!E56)*(1-'Assumptions'!$D$17*(1-'Assumptions'!$D$18/'Assumptions'!$D$19))</x:f>
        <x:v>203.775</x:v>
      </x:c>
      <x:c r="N21" s="64" t="n">
        <x:f>('Assumptions'!$D$14*(1-'Assumptions'!E56)+'Assumptions'!$D$15*'Assumptions'!E56)*(1-'Assumptions'!$D$17*(1-'Assumptions'!$D$18/'Assumptions'!$D$19))</x:f>
        <x:v>203.775</x:v>
      </x:c>
      <x:c r="O21" s="64" t="n">
        <x:f>('Assumptions'!$D$14*(1-'Assumptions'!E56)+'Assumptions'!$D$15*'Assumptions'!E56)*(1-'Assumptions'!$D$17*(1-'Assumptions'!$D$18/'Assumptions'!$D$19))</x:f>
        <x:v>203.775</x:v>
      </x:c>
      <x:c r="P21" s="64" t="n">
        <x:f>('Assumptions'!$D$14*(1-'Assumptions'!E56)+'Assumptions'!$D$15*'Assumptions'!E56)*(1-'Assumptions'!$D$17*(1-'Assumptions'!$D$18/'Assumptions'!$D$19))</x:f>
        <x:v>203.775</x:v>
      </x:c>
      <x:c r="Q21" s="64" t="n">
        <x:f>('Assumptions'!$D$14*(1-'Assumptions'!F56)+'Assumptions'!$D$15*'Assumptions'!F56)*(1-'Assumptions'!$D$17*(1-'Assumptions'!$D$18/'Assumptions'!$D$19))</x:f>
        <x:v>211.0875</x:v>
      </x:c>
      <x:c r="R21" s="79" t="n">
        <x:f>('Assumptions'!$D$14*(1-'Assumptions'!F56)+'Assumptions'!$D$15*'Assumptions'!F56)*(1-'Assumptions'!$D$17*(1-'Assumptions'!$D$18/'Assumptions'!$D$19))</x:f>
        <x:v>211.0875</x:v>
      </x:c>
      <x:c r="S21" s="79" t="n">
        <x:f>('Assumptions'!$D$14*(1-'Assumptions'!F56)+'Assumptions'!$D$15*'Assumptions'!F56)*(1-'Assumptions'!$D$17*(1-'Assumptions'!$D$18/'Assumptions'!$D$19))</x:f>
        <x:v>211.0875</x:v>
      </x:c>
      <x:c r="T21" s="79" t="n">
        <x:f>('Assumptions'!$D$14*(1-'Assumptions'!F56)+'Assumptions'!$D$15*'Assumptions'!F56)*(1-'Assumptions'!$D$17*(1-'Assumptions'!$D$18/'Assumptions'!$D$19))</x:f>
        <x:v>211.0875</x:v>
      </x:c>
      <x:c r="U21" s="79" t="n">
        <x:f>('Assumptions'!$D$14*(1-'Assumptions'!F56)+'Assumptions'!$D$15*'Assumptions'!F56)*(1-'Assumptions'!$D$17*(1-'Assumptions'!$D$18/'Assumptions'!$D$19))</x:f>
        <x:v>211.0875</x:v>
      </x:c>
      <x:c r="V21" s="79" t="n">
        <x:f>('Assumptions'!$D$14*(1-'Assumptions'!F56)+'Assumptions'!$D$15*'Assumptions'!F56)*(1-'Assumptions'!$D$17*(1-'Assumptions'!$D$18/'Assumptions'!$D$19))</x:f>
        <x:v>211.0875</x:v>
      </x:c>
      <x:c r="W21" s="79" t="n">
        <x:f>('Assumptions'!$D$14*(1-'Assumptions'!F56)+'Assumptions'!$D$15*'Assumptions'!F56)*(1-'Assumptions'!$D$17*(1-'Assumptions'!$D$18/'Assumptions'!$D$19))</x:f>
        <x:v>211.0875</x:v>
      </x:c>
      <x:c r="X21" s="79" t="n">
        <x:f>('Assumptions'!$D$14*(1-'Assumptions'!F56)+'Assumptions'!$D$15*'Assumptions'!F56)*(1-'Assumptions'!$D$17*(1-'Assumptions'!$D$18/'Assumptions'!$D$19))</x:f>
        <x:v>211.0875</x:v>
      </x:c>
      <x:c r="Y21" s="79" t="n">
        <x:f>('Assumptions'!$D$14*(1-'Assumptions'!F56)+'Assumptions'!$D$15*'Assumptions'!F56)*(1-'Assumptions'!$D$17*(1-'Assumptions'!$D$18/'Assumptions'!$D$19))</x:f>
        <x:v>211.0875</x:v>
      </x:c>
      <x:c r="Z21" s="79" t="n">
        <x:f>('Assumptions'!$D$14*(1-'Assumptions'!F56)+'Assumptions'!$D$15*'Assumptions'!F56)*(1-'Assumptions'!$D$17*(1-'Assumptions'!$D$18/'Assumptions'!$D$19))</x:f>
        <x:v>211.0875</x:v>
      </x:c>
      <x:c r="AA21" s="79" t="n">
        <x:f>('Assumptions'!$D$14*(1-'Assumptions'!F56)+'Assumptions'!$D$15*'Assumptions'!F56)*(1-'Assumptions'!$D$17*(1-'Assumptions'!$D$18/'Assumptions'!$D$19))</x:f>
        <x:v>211.0875</x:v>
      </x:c>
      <x:c r="AB21" s="79" t="n">
        <x:f>('Assumptions'!$D$14*(1-'Assumptions'!F56)+'Assumptions'!$D$15*'Assumptions'!F56)*(1-'Assumptions'!$D$17*(1-'Assumptions'!$D$18/'Assumptions'!$D$19))</x:f>
        <x:v>211.0875</x:v>
      </x:c>
      <x:c r="AC21" s="79" t="n">
        <x:f>('Assumptions'!$D$14*(1-'Assumptions'!G56)+'Assumptions'!$D$15*'Assumptions'!G56)*(1-'Assumptions'!$D$17*(1-'Assumptions'!$D$18/'Assumptions'!$D$19))</x:f>
        <x:v>218.4</x:v>
      </x:c>
      <x:c r="AD21" s="79" t="n">
        <x:f>('Assumptions'!$D$14*(1-'Assumptions'!G56)+'Assumptions'!$D$15*'Assumptions'!G56)*(1-'Assumptions'!$D$17*(1-'Assumptions'!$D$18/'Assumptions'!$D$19))</x:f>
        <x:v>218.4</x:v>
      </x:c>
      <x:c r="AE21" s="79" t="n">
        <x:f>('Assumptions'!$D$14*(1-'Assumptions'!G56)+'Assumptions'!$D$15*'Assumptions'!G56)*(1-'Assumptions'!$D$17*(1-'Assumptions'!$D$18/'Assumptions'!$D$19))</x:f>
        <x:v>218.4</x:v>
      </x:c>
      <x:c r="AF21" s="79" t="n">
        <x:f>('Assumptions'!$D$14*(1-'Assumptions'!G56)+'Assumptions'!$D$15*'Assumptions'!G56)*(1-'Assumptions'!$D$17*(1-'Assumptions'!$D$18/'Assumptions'!$D$19))</x:f>
        <x:v>218.4</x:v>
      </x:c>
      <x:c r="AG21" s="79" t="n">
        <x:f>('Assumptions'!$D$14*(1-'Assumptions'!G56)+'Assumptions'!$D$15*'Assumptions'!G56)*(1-'Assumptions'!$D$17*(1-'Assumptions'!$D$18/'Assumptions'!$D$19))</x:f>
        <x:v>218.4</x:v>
      </x:c>
      <x:c r="AH21" s="79" t="n">
        <x:f>('Assumptions'!$D$14*(1-'Assumptions'!G56)+'Assumptions'!$D$15*'Assumptions'!G56)*(1-'Assumptions'!$D$17*(1-'Assumptions'!$D$18/'Assumptions'!$D$19))</x:f>
        <x:v>218.4</x:v>
      </x:c>
      <x:c r="AI21" s="79" t="n">
        <x:f>('Assumptions'!$D$14*(1-'Assumptions'!G56)+'Assumptions'!$D$15*'Assumptions'!G56)*(1-'Assumptions'!$D$17*(1-'Assumptions'!$D$18/'Assumptions'!$D$19))</x:f>
        <x:v>218.4</x:v>
      </x:c>
      <x:c r="AJ21" s="79" t="n">
        <x:f>('Assumptions'!$D$14*(1-'Assumptions'!G56)+'Assumptions'!$D$15*'Assumptions'!G56)*(1-'Assumptions'!$D$17*(1-'Assumptions'!$D$18/'Assumptions'!$D$19))</x:f>
        <x:v>218.4</x:v>
      </x:c>
      <x:c r="AK21" s="79" t="n">
        <x:f>('Assumptions'!$D$14*(1-'Assumptions'!G56)+'Assumptions'!$D$15*'Assumptions'!G56)*(1-'Assumptions'!$D$17*(1-'Assumptions'!$D$18/'Assumptions'!$D$19))</x:f>
        <x:v>218.4</x:v>
      </x:c>
      <x:c r="AL21" s="79" t="n">
        <x:f>('Assumptions'!$D$14*(1-'Assumptions'!G56)+'Assumptions'!$D$15*'Assumptions'!G56)*(1-'Assumptions'!$D$17*(1-'Assumptions'!$D$18/'Assumptions'!$D$19))</x:f>
        <x:v>218.4</x:v>
      </x:c>
      <x:c r="AM21" s="79" t="n">
        <x:f>('Assumptions'!$D$14*(1-'Assumptions'!G56)+'Assumptions'!$D$15*'Assumptions'!G56)*(1-'Assumptions'!$D$17*(1-'Assumptions'!$D$18/'Assumptions'!$D$19))</x:f>
        <x:v>218.4</x:v>
      </x:c>
      <x:c r="AN21" s="79" t="n">
        <x:f>('Assumptions'!$D$14*(1-'Assumptions'!G56)+'Assumptions'!$D$15*'Assumptions'!G56)*(1-'Assumptions'!$D$17*(1-'Assumptions'!$D$18/'Assumptions'!$D$19))</x:f>
        <x:v>218.4</x:v>
      </x:c>
      <x:c r="AO21" s="79" t="n">
        <x:f>('Assumptions'!$D$14*(1-'Assumptions'!H56)+'Assumptions'!$D$15*'Assumptions'!H56)*(1-'Assumptions'!$D$17*(1-'Assumptions'!$D$18/'Assumptions'!$D$19))</x:f>
        <x:v>225.7125</x:v>
      </x:c>
      <x:c r="AP21" s="79" t="n">
        <x:f>('Assumptions'!$D$14*(1-'Assumptions'!H56)+'Assumptions'!$D$15*'Assumptions'!H56)*(1-'Assumptions'!$D$17*(1-'Assumptions'!$D$18/'Assumptions'!$D$19))</x:f>
        <x:v>225.7125</x:v>
      </x:c>
      <x:c r="AQ21" s="79" t="n">
        <x:f>('Assumptions'!$D$14*(1-'Assumptions'!H56)+'Assumptions'!$D$15*'Assumptions'!H56)*(1-'Assumptions'!$D$17*(1-'Assumptions'!$D$18/'Assumptions'!$D$19))</x:f>
        <x:v>225.7125</x:v>
      </x:c>
      <x:c r="AR21" s="79" t="n">
        <x:f>('Assumptions'!$D$14*(1-'Assumptions'!H56)+'Assumptions'!$D$15*'Assumptions'!H56)*(1-'Assumptions'!$D$17*(1-'Assumptions'!$D$18/'Assumptions'!$D$19))</x:f>
        <x:v>225.7125</x:v>
      </x:c>
      <x:c r="AS21" s="79" t="n">
        <x:f>('Assumptions'!$D$14*(1-'Assumptions'!H56)+'Assumptions'!$D$15*'Assumptions'!H56)*(1-'Assumptions'!$D$17*(1-'Assumptions'!$D$18/'Assumptions'!$D$19))</x:f>
        <x:v>225.7125</x:v>
      </x:c>
      <x:c r="AT21" s="79" t="n">
        <x:f>('Assumptions'!$D$14*(1-'Assumptions'!H56)+'Assumptions'!$D$15*'Assumptions'!H56)*(1-'Assumptions'!$D$17*(1-'Assumptions'!$D$18/'Assumptions'!$D$19))</x:f>
        <x:v>225.7125</x:v>
      </x:c>
      <x:c r="AU21" s="79" t="n">
        <x:f>('Assumptions'!$D$14*(1-'Assumptions'!H56)+'Assumptions'!$D$15*'Assumptions'!H56)*(1-'Assumptions'!$D$17*(1-'Assumptions'!$D$18/'Assumptions'!$D$19))</x:f>
        <x:v>225.7125</x:v>
      </x:c>
      <x:c r="AV21" s="79" t="n">
        <x:f>('Assumptions'!$D$14*(1-'Assumptions'!H56)+'Assumptions'!$D$15*'Assumptions'!H56)*(1-'Assumptions'!$D$17*(1-'Assumptions'!$D$18/'Assumptions'!$D$19))</x:f>
        <x:v>225.7125</x:v>
      </x:c>
      <x:c r="AW21" s="79" t="n">
        <x:f>('Assumptions'!$D$14*(1-'Assumptions'!H56)+'Assumptions'!$D$15*'Assumptions'!H56)*(1-'Assumptions'!$D$17*(1-'Assumptions'!$D$18/'Assumptions'!$D$19))</x:f>
        <x:v>225.7125</x:v>
      </x:c>
      <x:c r="AX21" s="79" t="n">
        <x:f>('Assumptions'!$D$14*(1-'Assumptions'!H56)+'Assumptions'!$D$15*'Assumptions'!H56)*(1-'Assumptions'!$D$17*(1-'Assumptions'!$D$18/'Assumptions'!$D$19))</x:f>
        <x:v>225.7125</x:v>
      </x:c>
      <x:c r="AY21" s="79" t="n">
        <x:f>('Assumptions'!$D$14*(1-'Assumptions'!H56)+'Assumptions'!$D$15*'Assumptions'!H56)*(1-'Assumptions'!$D$17*(1-'Assumptions'!$D$18/'Assumptions'!$D$19))</x:f>
        <x:v>225.7125</x:v>
      </x:c>
      <x:c r="AZ21" s="79" t="n">
        <x:f>('Assumptions'!$D$14*(1-'Assumptions'!H56)+'Assumptions'!$D$15*'Assumptions'!H56)*(1-'Assumptions'!$D$17*(1-'Assumptions'!$D$18/'Assumptions'!$D$19))</x:f>
        <x:v>225.7125</x:v>
      </x:c>
      <x:c r="BA21" s="79" t="n">
        <x:f>('Assumptions'!$D$14*(1-'Assumptions'!I56)+'Assumptions'!$D$15*'Assumptions'!I56)*(1-'Assumptions'!$D$17*(1-'Assumptions'!$D$18/'Assumptions'!$D$19))</x:f>
        <x:v>233.025</x:v>
      </x:c>
      <x:c r="BB21" s="79" t="n">
        <x:f>('Assumptions'!$D$14*(1-'Assumptions'!I56)+'Assumptions'!$D$15*'Assumptions'!I56)*(1-'Assumptions'!$D$17*(1-'Assumptions'!$D$18/'Assumptions'!$D$19))</x:f>
        <x:v>233.025</x:v>
      </x:c>
      <x:c r="BC21" s="79" t="n">
        <x:f>('Assumptions'!$D$14*(1-'Assumptions'!I56)+'Assumptions'!$D$15*'Assumptions'!I56)*(1-'Assumptions'!$D$17*(1-'Assumptions'!$D$18/'Assumptions'!$D$19))</x:f>
        <x:v>233.025</x:v>
      </x:c>
      <x:c r="BD21" s="79" t="n">
        <x:f>('Assumptions'!$D$14*(1-'Assumptions'!I56)+'Assumptions'!$D$15*'Assumptions'!I56)*(1-'Assumptions'!$D$17*(1-'Assumptions'!$D$18/'Assumptions'!$D$19))</x:f>
        <x:v>233.025</x:v>
      </x:c>
      <x:c r="BE21" s="79" t="n">
        <x:f>('Assumptions'!$D$14*(1-'Assumptions'!I56)+'Assumptions'!$D$15*'Assumptions'!I56)*(1-'Assumptions'!$D$17*(1-'Assumptions'!$D$18/'Assumptions'!$D$19))</x:f>
        <x:v>233.025</x:v>
      </x:c>
      <x:c r="BF21" s="79" t="n">
        <x:f>('Assumptions'!$D$14*(1-'Assumptions'!I56)+'Assumptions'!$D$15*'Assumptions'!I56)*(1-'Assumptions'!$D$17*(1-'Assumptions'!$D$18/'Assumptions'!$D$19))</x:f>
        <x:v>233.025</x:v>
      </x:c>
      <x:c r="BG21" s="79" t="n">
        <x:f>('Assumptions'!$D$14*(1-'Assumptions'!I56)+'Assumptions'!$D$15*'Assumptions'!I56)*(1-'Assumptions'!$D$17*(1-'Assumptions'!$D$18/'Assumptions'!$D$19))</x:f>
        <x:v>233.025</x:v>
      </x:c>
      <x:c r="BH21" s="79" t="n">
        <x:f>('Assumptions'!$D$14*(1-'Assumptions'!I56)+'Assumptions'!$D$15*'Assumptions'!I56)*(1-'Assumptions'!$D$17*(1-'Assumptions'!$D$18/'Assumptions'!$D$19))</x:f>
        <x:v>233.025</x:v>
      </x:c>
      <x:c r="BI21" s="79" t="n">
        <x:f>('Assumptions'!$D$14*(1-'Assumptions'!I56)+'Assumptions'!$D$15*'Assumptions'!I56)*(1-'Assumptions'!$D$17*(1-'Assumptions'!$D$18/'Assumptions'!$D$19))</x:f>
        <x:v>233.025</x:v>
      </x:c>
      <x:c r="BJ21" s="79" t="n">
        <x:f>('Assumptions'!$D$14*(1-'Assumptions'!I56)+'Assumptions'!$D$15*'Assumptions'!I56)*(1-'Assumptions'!$D$17*(1-'Assumptions'!$D$18/'Assumptions'!$D$19))</x:f>
        <x:v>233.025</x:v>
      </x:c>
      <x:c r="BK21" s="79" t="n">
        <x:f>('Assumptions'!$D$14*(1-'Assumptions'!I56)+'Assumptions'!$D$15*'Assumptions'!I56)*(1-'Assumptions'!$D$17*(1-'Assumptions'!$D$18/'Assumptions'!$D$19))</x:f>
        <x:v>233.025</x:v>
      </x:c>
      <x:c r="BL21" s="79" t="n">
        <x:f>('Assumptions'!$D$14*(1-'Assumptions'!I56)+'Assumptions'!$D$15*'Assumptions'!I56)*(1-'Assumptions'!$D$17*(1-'Assumptions'!$D$18/'Assumptions'!$D$19))</x:f>
        <x:v>233.025</x:v>
      </x:c>
    </x:row>
    <x:row r="22" ht="23" customHeight="1">
      <x:c r="A22" s="2"/>
      <x:c r="B22" s="2"/>
      <x:c r="C22" s="4" t="str">
        <x:v>INR per AED</x:v>
      </x:c>
      <x:c r="D22" s="2"/>
      <x:c r="E22" s="68" t="n">
        <x:f>'Assumptions'!$D$7/'Assumptions'!$D$8</x:f>
        <x:v>24.506466984343092</x:v>
      </x:c>
      <x:c r="F22" s="68" t="n">
        <x:f>'Assumptions'!$D$7/'Assumptions'!$D$8</x:f>
        <x:v>24.506466984343092</x:v>
      </x:c>
      <x:c r="G22" s="68" t="n">
        <x:f>'Assumptions'!$D$7/'Assumptions'!$D$8</x:f>
        <x:v>24.506466984343092</x:v>
      </x:c>
      <x:c r="H22" s="68" t="n">
        <x:f>'Assumptions'!$D$7/'Assumptions'!$D$8</x:f>
        <x:v>24.506466984343092</x:v>
      </x:c>
      <x:c r="I22" s="68" t="n">
        <x:f>'Assumptions'!$D$7/'Assumptions'!$D$8</x:f>
        <x:v>24.506466984343092</x:v>
      </x:c>
      <x:c r="J22" s="68" t="n">
        <x:f>'Assumptions'!$D$7/'Assumptions'!$D$8</x:f>
        <x:v>24.506466984343092</x:v>
      </x:c>
      <x:c r="K22" s="68" t="n">
        <x:f>'Assumptions'!$D$7/'Assumptions'!$D$8</x:f>
        <x:v>24.506466984343092</x:v>
      </x:c>
      <x:c r="L22" s="68" t="n">
        <x:f>'Assumptions'!$D$7/'Assumptions'!$D$8</x:f>
        <x:v>24.506466984343092</x:v>
      </x:c>
      <x:c r="M22" s="68" t="n">
        <x:f>'Assumptions'!$D$7/'Assumptions'!$D$8</x:f>
        <x:v>24.506466984343092</x:v>
      </x:c>
      <x:c r="N22" s="68" t="n">
        <x:f>'Assumptions'!$D$7/'Assumptions'!$D$8</x:f>
        <x:v>24.506466984343092</x:v>
      </x:c>
      <x:c r="O22" s="68" t="n">
        <x:f>'Assumptions'!$D$7/'Assumptions'!$D$8</x:f>
        <x:v>24.506466984343092</x:v>
      </x:c>
      <x:c r="P22" s="68" t="n">
        <x:f>'Assumptions'!$D$7/'Assumptions'!$D$8</x:f>
        <x:v>24.506466984343092</x:v>
      </x:c>
      <x:c r="Q22" s="68" t="n">
        <x:f>'Assumptions'!$D$7/'Assumptions'!$D$8</x:f>
        <x:v>24.506466984343092</x:v>
      </x:c>
      <x:c r="R22" s="85" t="n">
        <x:f>'Assumptions'!$D$7/'Assumptions'!$D$8</x:f>
        <x:v>24.506466984343092</x:v>
      </x:c>
      <x:c r="S22" s="85" t="n">
        <x:f>'Assumptions'!$D$7/'Assumptions'!$D$8</x:f>
        <x:v>24.506466984343092</x:v>
      </x:c>
      <x:c r="T22" s="85" t="n">
        <x:f>'Assumptions'!$D$7/'Assumptions'!$D$8</x:f>
        <x:v>24.506466984343092</x:v>
      </x:c>
      <x:c r="U22" s="85" t="n">
        <x:f>'Assumptions'!$D$7/'Assumptions'!$D$8</x:f>
        <x:v>24.506466984343092</x:v>
      </x:c>
      <x:c r="V22" s="85" t="n">
        <x:f>'Assumptions'!$D$7/'Assumptions'!$D$8</x:f>
        <x:v>24.506466984343092</x:v>
      </x:c>
      <x:c r="W22" s="85" t="n">
        <x:f>'Assumptions'!$D$7/'Assumptions'!$D$8</x:f>
        <x:v>24.506466984343092</x:v>
      </x:c>
      <x:c r="X22" s="85" t="n">
        <x:f>'Assumptions'!$D$7/'Assumptions'!$D$8</x:f>
        <x:v>24.506466984343092</x:v>
      </x:c>
      <x:c r="Y22" s="85" t="n">
        <x:f>'Assumptions'!$D$7/'Assumptions'!$D$8</x:f>
        <x:v>24.506466984343092</x:v>
      </x:c>
      <x:c r="Z22" s="85" t="n">
        <x:f>'Assumptions'!$D$7/'Assumptions'!$D$8</x:f>
        <x:v>24.506466984343092</x:v>
      </x:c>
      <x:c r="AA22" s="85" t="n">
        <x:f>'Assumptions'!$D$7/'Assumptions'!$D$8</x:f>
        <x:v>24.506466984343092</x:v>
      </x:c>
      <x:c r="AB22" s="85" t="n">
        <x:f>'Assumptions'!$D$7/'Assumptions'!$D$8</x:f>
        <x:v>24.506466984343092</x:v>
      </x:c>
      <x:c r="AC22" s="85" t="n">
        <x:f>'Assumptions'!$D$7/'Assumptions'!$D$8</x:f>
        <x:v>24.506466984343092</x:v>
      </x:c>
      <x:c r="AD22" s="85" t="n">
        <x:f>'Assumptions'!$D$7/'Assumptions'!$D$8</x:f>
        <x:v>24.506466984343092</x:v>
      </x:c>
      <x:c r="AE22" s="85" t="n">
        <x:f>'Assumptions'!$D$7/'Assumptions'!$D$8</x:f>
        <x:v>24.506466984343092</x:v>
      </x:c>
      <x:c r="AF22" s="85" t="n">
        <x:f>'Assumptions'!$D$7/'Assumptions'!$D$8</x:f>
        <x:v>24.506466984343092</x:v>
      </x:c>
      <x:c r="AG22" s="85" t="n">
        <x:f>'Assumptions'!$D$7/'Assumptions'!$D$8</x:f>
        <x:v>24.506466984343092</x:v>
      </x:c>
      <x:c r="AH22" s="85" t="n">
        <x:f>'Assumptions'!$D$7/'Assumptions'!$D$8</x:f>
        <x:v>24.506466984343092</x:v>
      </x:c>
      <x:c r="AI22" s="85" t="n">
        <x:f>'Assumptions'!$D$7/'Assumptions'!$D$8</x:f>
        <x:v>24.506466984343092</x:v>
      </x:c>
      <x:c r="AJ22" s="85" t="n">
        <x:f>'Assumptions'!$D$7/'Assumptions'!$D$8</x:f>
        <x:v>24.506466984343092</x:v>
      </x:c>
      <x:c r="AK22" s="85" t="n">
        <x:f>'Assumptions'!$D$7/'Assumptions'!$D$8</x:f>
        <x:v>24.506466984343092</x:v>
      </x:c>
      <x:c r="AL22" s="85" t="n">
        <x:f>'Assumptions'!$D$7/'Assumptions'!$D$8</x:f>
        <x:v>24.506466984343092</x:v>
      </x:c>
      <x:c r="AM22" s="85" t="n">
        <x:f>'Assumptions'!$D$7/'Assumptions'!$D$8</x:f>
        <x:v>24.506466984343092</x:v>
      </x:c>
      <x:c r="AN22" s="85" t="n">
        <x:f>'Assumptions'!$D$7/'Assumptions'!$D$8</x:f>
        <x:v>24.506466984343092</x:v>
      </x:c>
      <x:c r="AO22" s="85" t="n">
        <x:f>'Assumptions'!$D$7/'Assumptions'!$D$8</x:f>
        <x:v>24.506466984343092</x:v>
      </x:c>
      <x:c r="AP22" s="85" t="n">
        <x:f>'Assumptions'!$D$7/'Assumptions'!$D$8</x:f>
        <x:v>24.506466984343092</x:v>
      </x:c>
      <x:c r="AQ22" s="85" t="n">
        <x:f>'Assumptions'!$D$7/'Assumptions'!$D$8</x:f>
        <x:v>24.506466984343092</x:v>
      </x:c>
      <x:c r="AR22" s="85" t="n">
        <x:f>'Assumptions'!$D$7/'Assumptions'!$D$8</x:f>
        <x:v>24.506466984343092</x:v>
      </x:c>
      <x:c r="AS22" s="85" t="n">
        <x:f>'Assumptions'!$D$7/'Assumptions'!$D$8</x:f>
        <x:v>24.506466984343092</x:v>
      </x:c>
      <x:c r="AT22" s="85" t="n">
        <x:f>'Assumptions'!$D$7/'Assumptions'!$D$8</x:f>
        <x:v>24.506466984343092</x:v>
      </x:c>
      <x:c r="AU22" s="85" t="n">
        <x:f>'Assumptions'!$D$7/'Assumptions'!$D$8</x:f>
        <x:v>24.506466984343092</x:v>
      </x:c>
      <x:c r="AV22" s="85" t="n">
        <x:f>'Assumptions'!$D$7/'Assumptions'!$D$8</x:f>
        <x:v>24.506466984343092</x:v>
      </x:c>
      <x:c r="AW22" s="85" t="n">
        <x:f>'Assumptions'!$D$7/'Assumptions'!$D$8</x:f>
        <x:v>24.506466984343092</x:v>
      </x:c>
      <x:c r="AX22" s="85" t="n">
        <x:f>'Assumptions'!$D$7/'Assumptions'!$D$8</x:f>
        <x:v>24.506466984343092</x:v>
      </x:c>
      <x:c r="AY22" s="85" t="n">
        <x:f>'Assumptions'!$D$7/'Assumptions'!$D$8</x:f>
        <x:v>24.506466984343092</x:v>
      </x:c>
      <x:c r="AZ22" s="85" t="n">
        <x:f>'Assumptions'!$D$7/'Assumptions'!$D$8</x:f>
        <x:v>24.506466984343092</x:v>
      </x:c>
      <x:c r="BA22" s="85" t="n">
        <x:f>'Assumptions'!$D$7/'Assumptions'!$D$8</x:f>
        <x:v>24.506466984343092</x:v>
      </x:c>
      <x:c r="BB22" s="85" t="n">
        <x:f>'Assumptions'!$D$7/'Assumptions'!$D$8</x:f>
        <x:v>24.506466984343092</x:v>
      </x:c>
      <x:c r="BC22" s="85" t="n">
        <x:f>'Assumptions'!$D$7/'Assumptions'!$D$8</x:f>
        <x:v>24.506466984343092</x:v>
      </x:c>
      <x:c r="BD22" s="85" t="n">
        <x:f>'Assumptions'!$D$7/'Assumptions'!$D$8</x:f>
        <x:v>24.506466984343092</x:v>
      </x:c>
      <x:c r="BE22" s="85" t="n">
        <x:f>'Assumptions'!$D$7/'Assumptions'!$D$8</x:f>
        <x:v>24.506466984343092</x:v>
      </x:c>
      <x:c r="BF22" s="85" t="n">
        <x:f>'Assumptions'!$D$7/'Assumptions'!$D$8</x:f>
        <x:v>24.506466984343092</x:v>
      </x:c>
      <x:c r="BG22" s="85" t="n">
        <x:f>'Assumptions'!$D$7/'Assumptions'!$D$8</x:f>
        <x:v>24.506466984343092</x:v>
      </x:c>
      <x:c r="BH22" s="85" t="n">
        <x:f>'Assumptions'!$D$7/'Assumptions'!$D$8</x:f>
        <x:v>24.506466984343092</x:v>
      </x:c>
      <x:c r="BI22" s="85" t="n">
        <x:f>'Assumptions'!$D$7/'Assumptions'!$D$8</x:f>
        <x:v>24.506466984343092</x:v>
      </x:c>
      <x:c r="BJ22" s="85" t="n">
        <x:f>'Assumptions'!$D$7/'Assumptions'!$D$8</x:f>
        <x:v>24.506466984343092</x:v>
      </x:c>
      <x:c r="BK22" s="85" t="n">
        <x:f>'Assumptions'!$D$7/'Assumptions'!$D$8</x:f>
        <x:v>24.506466984343092</x:v>
      </x:c>
      <x:c r="BL22" s="85" t="n">
        <x:f>'Assumptions'!$D$7/'Assumptions'!$D$8</x:f>
        <x:v>24.506466984343092</x:v>
      </x:c>
    </x:row>
    <x:row r="23" ht="23" customHeight="1">
      <x:c r="A23" s="2"/>
      <x:c r="B23" s="2"/>
      <x:c r="C23" s="4" t="str">
        <x:v>UAE subscription revenue (INR)</x:v>
      </x:c>
      <x:c r="D23" s="2"/>
      <x:c r="E23" s="67" t="n">
        <x:f>E20*E21*E22</x:f>
        <x:v>4993.805309734514</x:v>
      </x:c>
      <x:c r="F23" s="67" t="n">
        <x:f>F20*F21*F22</x:f>
        <x:v>14946.4592920354</x:v>
      </x:c>
      <x:c r="G23" s="67" t="n">
        <x:f>G20*G21*G22</x:f>
        <x:v>24829.44469646018</x:v>
      </x:c>
      <x:c r="H23" s="67" t="n">
        <x:f>H20*H21*H22</x:f>
        <x:v>34643.24920305399</x:v>
      </x:c>
      <x:c r="I23" s="67" t="n">
        <x:f>I20*I21*I22</x:f>
        <x:v>44388.35707810164</x:v>
      </x:c>
      <x:c r="J23" s="67" t="n">
        <x:f>J20*J21*J22</x:f>
        <x:v>54065.24919802396</x:v>
      </x:c>
      <x:c r="K23" s="67" t="n">
        <x:f>K20*K21*K22</x:f>
        <x:v>63674.40307310681</x:v>
      </x:c>
      <x:c r="L23" s="67" t="n">
        <x:f>L20*L21*L22</x:f>
        <x:v>73216.2928710641</x:v>
      </x:c>
      <x:c r="M23" s="67" t="n">
        <x:f>M20*M21*M22</x:f>
        <x:v>82691.38944043567</x:v>
      </x:c>
      <x:c r="N23" s="67" t="n">
        <x:f>N20*N21*N22</x:f>
        <x:v>92100.16033382167</x:v>
      </x:c>
      <x:c r="O23" s="67" t="n">
        <x:f>O20*O21*O22</x:f>
        <x:v>101443.06983095393</x:v>
      </x:c>
      <x:c r="P23" s="67" t="n">
        <x:f>P20*P21*P22</x:f>
        <x:v>110720.5789616063</x:v>
      </x:c>
      <x:c r="Q23" s="67" t="n">
        <x:f>Q20*Q21*Q22</x:f>
        <x:v>150102.01078791436</x:v>
      </x:c>
      <x:c r="R23" s="83" t="n">
        <x:f>R20*R21*R22</x:f>
        <x:v>211127.40290708924</x:v>
      </x:c>
      <x:c r="S23" s="83" t="n">
        <x:f>S20*S21*S22</x:f>
        <x:v>271725.6172814299</x:v>
      </x:c>
      <x:c r="T23" s="83" t="n">
        <x:f>T20*T21*T22</x:f>
        <x:v>331899.64415515016</x:v>
      </x:c>
      <x:c r="U23" s="83" t="n">
        <x:f>U20*U21*U22</x:f>
        <x:v>391652.4528407545</x:v>
      </x:c>
      <x:c r="V23" s="83" t="n">
        <x:f>V20*V21*V22</x:f>
        <x:v>450986.9918655595</x:v>
      </x:c>
      <x:c r="W23" s="83" t="n">
        <x:f>W20*W21*W22</x:f>
        <x:v>509906.18911719084</x:v>
      </x:c>
      <x:c r="X23" s="83" t="n">
        <x:f>X20*X21*X22</x:f>
        <x:v>568412.9519880607</x:v>
      </x:c>
      <x:c r="Y23" s="83" t="n">
        <x:f>Y20*Y21*Y22</x:f>
        <x:v>626510.1675188346</x:v>
      </x:c>
      <x:c r="Z23" s="83" t="n">
        <x:f>Z20*Z21*Z22</x:f>
        <x:v>684200.7025408931</x:v>
      </x:c>
      <x:c r="AA23" s="83" t="n">
        <x:f>AA20*AA21*AA22</x:f>
        <x:v>741487.4038177971</x:v>
      </x:c>
      <x:c r="AB23" s="83" t="n">
        <x:f>AB20*AB21*AB22</x:f>
        <x:v>798373.0981857626</x:v>
      </x:c>
      <x:c r="AC23" s="83" t="n">
        <x:f>AC20*AC21*AC22</x:f>
        <x:v>972786.2054098421</x:v>
      </x:c>
      <x:c r="AD23" s="83" t="n">
        <x:f>AD20*AD21*AD22</x:f>
        <x:v>1206826.2594940972</x:v>
      </x:c>
      <x:c r="AE23" s="83" t="n">
        <x:f>AE20*AE21*AE22</x:f>
        <x:v>1439228.0331997622</x:v>
      </x:c>
      <x:c r="AF23" s="83" t="n">
        <x:f>AF20*AF21*AF22</x:f>
        <x:v>1670002.994489488</x:v>
      </x:c>
      <x:c r="AG23" s="83" t="n">
        <x:f>AG20*AG21*AG22</x:f>
        <x:v>1899162.5310501852</x:v>
      </x:c>
      <x:c r="AH23" s="83" t="n">
        <x:f>AH20*AH21*AH22</x:f>
        <x:v>2126717.9508549576</x:v>
      </x:c>
      <x:c r="AI23" s="83" t="n">
        <x:f>AI20*AI21*AI22</x:f>
        <x:v>2352680.482721097</x:v>
      </x:c>
      <x:c r="AJ23" s="83" t="n">
        <x:f>AJ20*AJ21*AJ22</x:f>
        <x:v>2577061.276864173</x:v>
      </x:c>
      <x:c r="AK23" s="83" t="n">
        <x:f>AK20*AK21*AK22</x:f>
        <x:v>2799871.405448248</x:v>
      </x:c>
      <x:c r="AL23" s="83" t="n">
        <x:f>AL20*AL21*AL22</x:f>
        <x:v>3021121.863132234</x:v>
      </x:c>
      <x:c r="AM23" s="83" t="n">
        <x:f>AM20*AM21*AM22</x:f>
        <x:v>3240823.5676124333</x:v>
      </x:c>
      <x:c r="AN23" s="83" t="n">
        <x:f>AN20*AN21*AN22</x:f>
        <x:v>3458987.360161269</x:v>
      </x:c>
      <x:c r="AO23" s="83" t="n">
        <x:f>AO20*AO21*AO22</x:f>
        <x:v>3923148.632632813</x:v>
      </x:c>
      <x:c r="AP23" s="83" t="n">
        <x:f>AP20*AP21*AP22</x:f>
        <x:v>4393514.0258327015</x:v>
      </x:c>
      <x:c r="AQ23" s="83" t="n">
        <x:f>AQ20*AQ21*AQ22</x:f>
        <x:v>4860586.861280191</x:v>
      </x:c>
      <x:c r="AR23" s="83" t="n">
        <x:f>AR20*AR21*AR22</x:f>
        <x:v>5324390.186879548</x:v>
      </x:c>
      <x:c r="AS23" s="83" t="n">
        <x:f>AS20*AS21*AS22</x:f>
        <x:v>5784946.8891997095</x:v>
      </x:c>
      <x:c r="AT23" s="83" t="n">
        <x:f>AT20*AT21*AT22</x:f>
        <x:v>6242279.69460363</x:v>
      </x:c>
      <x:c r="AU23" s="83" t="n">
        <x:f>AU20*AU21*AU22</x:f>
        <x:v>6696411.170369723</x:v>
      </x:c>
      <x:c r="AV23" s="83" t="n">
        <x:f>AV20*AV21*AV22</x:f>
        <x:v>7147363.725805453</x:v>
      </x:c>
      <x:c r="AW23" s="83" t="n">
        <x:f>AW20*AW21*AW22</x:f>
        <x:v>7595159.613353133</x:v>
      </x:c>
      <x:c r="AX23" s="83" t="n">
        <x:f>AX20*AX21*AX22</x:f>
        <x:v>8039820.92968798</x:v>
      </x:c>
      <x:c r="AY23" s="83" t="n">
        <x:f>AY20*AY21*AY22</x:f>
        <x:v>8481369.616808483</x:v>
      </x:c>
      <x:c r="AZ23" s="83" t="n">
        <x:f>AZ20*AZ21*AZ22</x:f>
        <x:v>8919827.463119142</x:v>
      </x:c>
      <x:c r="BA23" s="83" t="n">
        <x:f>BA20*BA21*BA22</x:f>
        <x:v>9886725.638272272</x:v>
      </x:c>
      <x:c r="BB23" s="83" t="n">
        <x:f>BB20*BB21*BB22</x:f>
        <x:v>10788323.868538877</x:v>
      </x:c>
      <x:c r="BC23" s="83" t="n">
        <x:f>BC20*BC21*BC22</x:f>
        <x:v>11683610.91119362</x:v>
      </x:c>
      <x:c r="BD23" s="83" t="n">
        <x:f>BD20*BD21*BD22</x:f>
        <x:v>12572630.94454978</x:v>
      </x:c>
      <x:c r="BE23" s="83" t="n">
        <x:f>BE20*BE21*BE22</x:f>
        <x:v>13455427.837672444</x:v>
      </x:c>
      <x:c r="BF23" s="83" t="n">
        <x:f>BF20*BF21*BF22</x:f>
        <x:v>14332045.15254325</x:v>
      </x:c>
      <x:c r="BG23" s="83" t="n">
        <x:f>BG20*BG21*BG22</x:f>
        <x:v>15202526.146209963</x:v>
      </x:c>
      <x:c r="BH23" s="83" t="n">
        <x:f>BH20*BH21*BH22</x:f>
        <x:v>16066913.772921005</x:v>
      </x:c>
      <x:c r="BI23" s="83" t="n">
        <x:f>BI20*BI21*BI22</x:f>
        <x:v>16925250.686245073</x:v>
      </x:c>
      <x:c r="BJ23" s="83" t="n">
        <x:f>BJ20*BJ21*BJ22</x:f>
        <x:v>17777579.241175868</x:v>
      </x:c>
      <x:c r="BK23" s="83" t="n">
        <x:f>BK20*BK21*BK22</x:f>
        <x:v>18623941.496222157</x:v>
      </x:c>
      <x:c r="BL23" s="83" t="n">
        <x:f>BL20*BL21*BL22</x:f>
        <x:v>19464379.21548311</x:v>
      </x:c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1"/>
      <x:c r="S24" s="1"/>
      <x:c r="T24" s="1"/>
      <x:c r="U24" s="1"/>
      <x:c r="V24" s="1"/>
      <x:c r="W24" s="1"/>
      <x:c r="X24" s="1"/>
      <x:c r="Y24" s="1"/>
      <x:c r="Z24" s="1"/>
      <x:c r="AA24" s="1"/>
      <x:c r="AB24" s="1"/>
      <x:c r="AC24" s="1"/>
      <x:c r="AD24" s="1"/>
      <x:c r="AE24" s="1"/>
      <x:c r="AF24" s="1"/>
      <x:c r="AG24" s="1"/>
      <x:c r="AH24" s="1"/>
      <x:c r="AI24" s="1"/>
      <x:c r="AJ24" s="1"/>
      <x:c r="AK24" s="1"/>
      <x:c r="AL24" s="1"/>
      <x:c r="AM24" s="1"/>
      <x:c r="AN24" s="1"/>
      <x:c r="AO24" s="1"/>
      <x:c r="AP24" s="1"/>
      <x:c r="AQ24" s="1"/>
      <x:c r="AR24" s="1"/>
      <x:c r="AS24" s="1"/>
      <x:c r="AT24" s="1"/>
      <x:c r="AU24" s="1"/>
      <x:c r="AV24" s="1"/>
      <x:c r="AW24" s="1"/>
      <x:c r="AX24" s="1"/>
      <x:c r="AY24" s="1"/>
      <x:c r="AZ24" s="1"/>
      <x:c r="BA24" s="1"/>
      <x:c r="BB24" s="1"/>
      <x:c r="BC24" s="1"/>
      <x:c r="BD24" s="1"/>
      <x:c r="BE24" s="1"/>
      <x:c r="BF24" s="1"/>
      <x:c r="BG24" s="1"/>
      <x:c r="BH24" s="1"/>
      <x:c r="BI24" s="1"/>
      <x:c r="BJ24" s="1"/>
      <x:c r="BK24" s="1"/>
      <x:c r="BL24" s="1"/>
    </x:row>
    <x:row r="25" ht="23" customHeight="1">
      <x:c r="A25" s="2"/>
      <x:c r="B25" s="2"/>
      <x:c r="C25" s="106" t="str">
        <x:v>Total subscription revenue</x:v>
      </x:c>
      <x:c r="D25" s="107"/>
      <x:c r="E25" s="112" t="n">
        <x:f>SUM(E14,E23)</x:f>
        <x:v>11949.938643067846</x:v>
      </x:c>
      <x:c r="F25" s="112" t="n">
        <x:f>SUM(F14,F23)</x:f>
        <x:v>35759.21022536873</x:v>
      </x:c>
      <x:c r="G25" s="112" t="n">
        <x:f>SUM(G14,G23)</x:f>
        <x:v>59387.96028899351</x:v>
      </x:c>
      <x:c r="H25" s="112" t="n">
        <x:f>SUM(H14,H23)</x:f>
        <x:v>82837.56333751371</x:v>
      </x:c>
      <x:c r="I25" s="112" t="n">
        <x:f>SUM(I14,I23)</x:f>
        <x:v>106109.38336615237</x:v>
      </x:c>
      <x:c r="J25" s="112" t="n">
        <x:f>SUM(J14,J23)</x:f>
        <x:v>129204.77394243694</x:v>
      </x:c>
      <x:c r="K25" s="112" t="n">
        <x:f>SUM(K14,K23)</x:f>
        <x:v>152125.07828623115</x:v>
      </x:c>
      <x:c r="L25" s="112" t="n">
        <x:f>SUM(L14,L23)</x:f>
        <x:v>174871.6293491501</x:v>
      </x:c>
      <x:c r="M25" s="112" t="n">
        <x:f>SUM(M14,M23)</x:f>
        <x:v>197445.74989336365</x:v>
      </x:c>
      <x:c r="N25" s="112" t="n">
        <x:f>SUM(N14,N23)</x:f>
        <x:v>219848.7525697929</x:v>
      </x:c>
      <x:c r="O25" s="112" t="n">
        <x:f>SUM(O14,O23)</x:f>
        <x:v>242081.93999570404</x:v>
      </x:c>
      <x:c r="P25" s="112" t="n">
        <x:f>SUM(P14,P23)</x:f>
        <x:v>264146.6048317051</x:v>
      </x:c>
      <x:c r="Q25" s="112" t="n">
        <x:f>SUM(Q14,Q23)</x:f>
        <x:v>368585.35730948136</x:v>
      </x:c>
      <x:c r="R25" s="113" t="n">
        <x:f>SUM(R14,R23)</x:f>
        <x:v>528826.3826564837</x:v>
      </x:c>
      <x:c r="S25" s="113" t="n">
        <x:f>SUM(S14,S23)</x:f>
        <x:v>687846.5051928292</x:v>
      </x:c>
      <x:c r="T25" s="113" t="n">
        <x:f>SUM(T14,T23)</x:f>
        <x:v>845655.0649632583</x:v>
      </x:c>
      <x:c r="U25" s="113" t="n">
        <x:f>SUM(U14,U23)</x:f>
        <x:v>1002261.3302823976</x:v>
      </x:c>
      <x:c r="V25" s="113" t="n">
        <x:f>SUM(V14,V23)</x:f>
        <x:v>1157674.4982876694</x:v>
      </x:c>
      <x:c r="W25" s="113" t="n">
        <x:f>SUM(W14,W23)</x:f>
        <x:v>1311903.695487924</x:v>
      </x:c>
      <x:c r="X25" s="113" t="n">
        <x:f>SUM(X14,X23)</x:f>
        <x:v>1464957.9783078278</x:v>
      </x:c>
      <x:c r="Y25" s="113" t="n">
        <x:f>SUM(Y14,Y23)</x:f>
        <x:v>1616846.3336280438</x:v>
      </x:c>
      <x:c r="Z25" s="113" t="n">
        <x:f>SUM(Z14,Z23)</x:f>
        <x:v>1767577.6793212288</x:v>
      </x:c>
      <x:c r="AA25" s="113" t="n">
        <x:f>SUM(AA14,AA23)</x:f>
        <x:v>1917160.86478389</x:v>
      </x:c>
      <x:c r="AB25" s="113" t="n">
        <x:f>SUM(AB14,AB23)</x:f>
        <x:v>2065604.671464127</x:v>
      </x:c>
      <x:c r="AC25" s="113" t="n">
        <x:f>SUM(AC14,AC23)</x:f>
        <x:v>2484352.6769100926</x:v>
      </x:c>
      <x:c r="AD25" s="113" t="n">
        <x:f>SUM(AD14,AD23)</x:f>
        <x:v>3045426.199222346</x:v>
      </x:c>
      <x:c r="AE25" s="113" t="n">
        <x:f>SUM(AE14,AE23)</x:f>
        <x:v>3602245.1734101847</x:v>
      </x:c>
      <x:c r="AF25" s="113" t="n">
        <x:f>SUM(AF14,AF23)</x:f>
        <x:v>4154841.997578227</x:v>
      </x:c>
      <x:c r="AG25" s="113" t="n">
        <x:f>SUM(AG14,AG23)</x:f>
        <x:v>4703248.822114214</x:v>
      </x:c>
      <x:c r="AH25" s="113" t="n">
        <x:f>SUM(AH14,AH23)</x:f>
        <x:v>5247497.551590474</x:v>
      </x:c>
      <x:c r="AI25" s="113" t="n">
        <x:f>SUM(AI14,AI23)</x:f>
        <x:v>5787619.846650729</x:v>
      </x:c>
      <x:c r="AJ25" s="113" t="n">
        <x:f>SUM(AJ14,AJ23)</x:f>
        <x:v>6323647.125882369</x:v>
      </x:c>
      <x:c r="AK25" s="113" t="n">
        <x:f>SUM(AK14,AK23)</x:f>
        <x:v>6855610.567674298</x:v>
      </x:c>
      <x:c r="AL25" s="113" t="n">
        <x:f>SUM(AL14,AL23)</x:f>
        <x:v>7383541.112060476</x:v>
      </x:c>
      <x:c r="AM25" s="113" t="n">
        <x:f>SUM(AM14,AM23)</x:f>
        <x:v>7907469.462549251</x:v>
      </x:c>
      <x:c r="AN25" s="113" t="n">
        <x:f>SUM(AN14,AN23)</x:f>
        <x:v>8427426.087938592</x:v>
      </x:c>
      <x:c r="AO25" s="113" t="n">
        <x:f>SUM(AO14,AO23)</x:f>
        <x:v>9586976.89029944</x:v>
      </x:c>
      <x:c r="AP25" s="113" t="n">
        <x:f>SUM(AP14,AP23)</x:f>
        <x:v>10881596.657437995</x:v>
      </x:c>
      <x:c r="AQ25" s="113" t="n">
        <x:f>SUM(AQ14,AQ23)</x:f>
        <x:v>12166329.831832644</x:v>
      </x:c>
      <x:c r="AR25" s="113" t="n">
        <x:f>SUM(AR14,AR23)</x:f>
        <x:v>13441252.213667579</x:v>
      </x:c>
      <x:c r="AS25" s="113" t="n">
        <x:f>SUM(AS14,AS23)</x:f>
        <x:v>14706439.019773439</x:v>
      </x:c>
      <x:c r="AT25" s="113" t="n">
        <x:f>SUM(AT14,AT23)</x:f>
        <x:v>15961964.88813277</x:v>
      </x:c>
      <x:c r="AU25" s="113" t="n">
        <x:f>SUM(AU14,AU23)</x:f>
        <x:v>17207903.88235063</x:v>
      </x:c>
      <x:c r="AV25" s="113" t="n">
        <x:f>SUM(AV14,AV23)</x:f>
        <x:v>18444329.496090513</x:v>
      </x:c>
      <x:c r="AW25" s="113" t="n">
        <x:f>SUM(AW14,AW23)</x:f>
        <x:v>19671314.65747591</x:v>
      </x:c>
      <x:c r="AX25" s="113" t="n">
        <x:f>SUM(AX14,AX23)</x:f>
        <x:v>20888931.733457774</x:v>
      </x:c>
      <x:c r="AY25" s="113" t="n">
        <x:f>SUM(AY14,AY23)</x:f>
        <x:v>22097252.53414812</x:v>
      </x:c>
      <x:c r="AZ25" s="113" t="n">
        <x:f>SUM(AZ14,AZ23)</x:f>
        <x:v>23296348.31712006</x:v>
      </x:c>
      <x:c r="BA25" s="113" t="n">
        <x:f>SUM(BA14,BA23)</x:f>
        <x:v>25841922.90065801</x:v>
      </x:c>
      <x:c r="BB25" s="113" t="n">
        <x:f>SUM(BB14,BB23)</x:f>
        <x:v>28398509.552825533</x:v>
      </x:c>
      <x:c r="BC25" s="113" t="n">
        <x:f>SUM(BC14,BC23)</x:f>
        <x:v>30935545.11000598</x:v>
      </x:c>
      <x:c r="BD25" s="113" t="n">
        <x:f>SUM(BD14,BD23)</x:f>
        <x:v>33453179.66977164</x:v>
      </x:c>
      <x:c r="BE25" s="113" t="n">
        <x:f>SUM(BE14,BE23)</x:f>
        <x:v>35951562.17309253</x:v>
      </x:c>
      <x:c r="BF25" s="113" t="n">
        <x:f>SUM(BF14,BF23)</x:f>
        <x:v>38430840.41327997</x:v>
      </x:c>
      <x:c r="BG25" s="113" t="n">
        <x:f>SUM(BG14,BG23)</x:f>
        <x:v>40891161.044860795</x:v>
      </x:c>
      <x:c r="BH25" s="113" t="n">
        <x:f>SUM(BH14,BH23)</x:f>
        <x:v>43332669.59238263</x:v>
      </x:c>
      <x:c r="BI25" s="113" t="n">
        <x:f>SUM(BI14,BI23)</x:f>
        <x:v>45755510.459151</x:v>
      </x:c>
      <x:c r="BJ25" s="113" t="n">
        <x:f>SUM(BJ14,BJ23)</x:f>
        <x:v>48159826.93589855</x:v>
      </x:c>
      <x:c r="BK25" s="113" t="n">
        <x:f>SUM(BK14,BK23)</x:f>
        <x:v>50545761.20938706</x:v>
      </x:c>
      <x:c r="BL25" s="113" t="n">
        <x:f>SUM(BL14,BL23)</x:f>
        <x:v>52913454.3709427</x:v>
      </x:c>
    </x:row>
    <x:row r="26" ht="23" customHeight="1">
      <x:c r="A26" s="2"/>
      <x:c r="B26" s="2"/>
      <x:c r="C26" s="106" t="str">
        <x:v>Ending software ARR (INR)</x:v>
      </x:c>
      <x:c r="D26" s="107"/>
      <x:c r="E26" s="116" t="n">
        <x:f>(E11*E13+E19*E21*E22)*'Assumptions'!$D$19</x:f>
        <x:v>286798.52743362833</x:v>
      </x:c>
      <x:c r="F26" s="116" t="n">
        <x:f>(F11*F13+F19*F21*F22)*'Assumptions'!$D$19</x:f>
        <x:v>571422.5179752212</x:v>
      </x:c>
      <x:c r="G26" s="116" t="n">
        <x:f>(G11*G13+G19*G21*G22)*'Assumptions'!$D$19</x:f>
        <x:v>853888.5289606231</x:v>
      </x:c>
      <x:c r="H26" s="116" t="n">
        <x:f>(H11*H13+H19*H21*H22)*'Assumptions'!$D$19</x:f>
        <x:v>1134212.9911397062</x:v>
      </x:c>
      <x:c r="I26" s="116" t="n">
        <x:f>(I11*I13+I19*I21*I22)*'Assumptions'!$D$19</x:f>
        <x:v>1412412.2096479505</x:v>
      </x:c>
      <x:c r="J26" s="116" t="n">
        <x:f>(J11*J13+J19*J21*J22)*'Assumptions'!$D$19</x:f>
        <x:v>1688502.364970536</x:v>
      </x:c>
      <x:c r="K26" s="116" t="n">
        <x:f>(K11*K13+K19*K21*K22)*'Assumptions'!$D$19</x:f>
        <x:v>1962499.513899012</x:v>
      </x:c>
      <x:c r="L26" s="116" t="n">
        <x:f>(L11*L13+L19*L21*L22)*'Assumptions'!$D$19</x:f>
        <x:v>2234419.5904805907</x:v>
      </x:c>
      <x:c r="M26" s="116" t="n">
        <x:f>(M11*M13+M19*M21*M22)*'Assumptions'!$D$19</x:f>
        <x:v>2504278.406960137</x:v>
      </x:c>
      <x:c r="N26" s="116" t="n">
        <x:f>(N11*N13+N19*N21*N22)*'Assumptions'!$D$19</x:f>
        <x:v>2772091.654714892</x:v>
      </x:c>
      <x:c r="O26" s="116" t="n">
        <x:f>(O11*O13+O19*O21*O22)*'Assumptions'!$D$19</x:f>
        <x:v>3037874.905182005</x:v>
      </x:c>
      <x:c r="P26" s="116" t="n">
        <x:f>(P11*P13+P19*P21*P22)*'Assumptions'!$D$19</x:f>
        <x:v>3301643.6107789166</x:v>
      </x:c>
      <x:c r="Q26" s="116" t="n">
        <x:f>(Q11*Q13+Q19*Q21*Q22)*'Assumptions'!$D$19</x:f>
        <x:v>5388147.212300602</x:v>
      </x:c>
      <x:c r="R26" s="117" t="n">
        <x:f>(R11*R13+R19*R21*R22)*'Assumptions'!$D$19</x:f>
        <x:v>7303685.971455006</x:v>
      </x:c>
      <x:c r="S26" s="117" t="n">
        <x:f>(S11*S13+S19*S21*S22)*'Assumptions'!$D$19</x:f>
        <x:v>9204630.153172895</x:v>
      </x:c>
      <x:c r="T26" s="117" t="n">
        <x:f>(T11*T13+T19*T21*T22)*'Assumptions'!$D$19</x:f>
        <x:v>11091091.405945305</x:v>
      </x:c>
      <x:c r="U26" s="117" t="n">
        <x:f>(U11*U13+U19*U21*U22)*'Assumptions'!$D$19</x:f>
        <x:v>12963180.52083224</x:v>
      </x:c>
      <x:c r="V26" s="117" t="n">
        <x:f>(V11*V13+V19*V21*V22)*'Assumptions'!$D$19</x:f>
        <x:v>14821007.438071828</x:v>
      </x:c>
      <x:c r="W26" s="117" t="n">
        <x:f>(W11*W13+W19*W21*W22)*'Assumptions'!$D$19</x:f>
        <x:v>16664681.253638346</x:v>
      </x:c>
      <x:c r="X26" s="117" t="n">
        <x:f>(X11*X13+X19*X21*X22)*'Assumptions'!$D$19</x:f>
        <x:v>18494310.225749526</x:v>
      </x:c>
      <x:c r="Y26" s="117" t="n">
        <x:f>(Y11*Y13+Y19*Y21*Y22)*'Assumptions'!$D$19</x:f>
        <x:v>20310001.781323526</x:v>
      </x:c>
      <x:c r="Z26" s="117" t="n">
        <x:f>(Z11*Z13+Z19*Z21*Z22)*'Assumptions'!$D$19</x:f>
        <x:v>22111862.522385962</x:v>
      </x:c>
      <x:c r="AA26" s="117" t="n">
        <x:f>(AA11*AA13+AA19*AA21*AA22)*'Assumptions'!$D$19</x:f>
        <x:v>23899998.232427396</x:v>
      </x:c>
      <x:c r="AB26" s="117" t="n">
        <x:f>(AB11*AB13+AB19*AB21*AB22)*'Assumptions'!$D$19</x:f>
        <x:v>25674513.882711645</x:v>
      </x:c>
      <x:c r="AC26" s="117" t="n">
        <x:f>(AC11*AC13+AC19*AC21*AC22)*'Assumptions'!$D$19</x:f>
        <x:v>33191485.68482826</x:v>
      </x:c>
      <x:c r="AD26" s="117" t="n">
        <x:f>(AD11*AD13+AD19*AD21*AD22)*'Assumptions'!$D$19</x:f>
        <x:v>39898743.09650804</x:v>
      </x:c>
      <x:c r="AE26" s="117" t="n">
        <x:f>(AE11*AE13+AE19*AE21*AE22)*'Assumptions'!$D$19</x:f>
        <x:v>46555141.06533639</x:v>
      </x:c>
      <x:c r="AF26" s="117" t="n">
        <x:f>(AF11*AF13+AF19*AF21*AF22)*'Assumptions'!$D$19</x:f>
        <x:v>53161066.87654104</x:v>
      </x:c>
      <x:c r="AG26" s="117" t="n">
        <x:f>(AG11*AG13+AG19*AG21*AG22)*'Assumptions'!$D$19</x:f>
        <x:v>59716904.854200095</x:v>
      </x:c>
      <x:c r="AH26" s="117" t="n">
        <x:f>(AH11*AH13+AH19*AH21*AH22)*'Assumptions'!$D$19</x:f>
        <x:v>66223036.38397129</x:v>
      </x:c>
      <x:c r="AI26" s="117" t="n">
        <x:f>(AI11*AI13+AI19*AI21*AI22)*'Assumptions'!$D$19</x:f>
        <x:v>72679839.9356462</x:v>
      </x:c>
      <x:c r="AJ26" s="117" t="n">
        <x:f>(AJ11*AJ13+AJ19*AJ21*AJ22)*'Assumptions'!$D$19</x:f>
        <x:v>79087691.08553064</x:v>
      </x:c>
      <x:c r="AK26" s="117" t="n">
        <x:f>(AK11*AK13+AK19*AK21*AK22)*'Assumptions'!$D$19</x:f>
        <x:v>85446962.53865251</x:v>
      </x:c>
      <x:c r="AL26" s="117" t="n">
        <x:f>(AL11*AL13+AL19*AL21*AL22)*'Assumptions'!$D$19</x:f>
        <x:v>91758024.15079892</x:v>
      </x:c>
      <x:c r="AM26" s="117" t="n">
        <x:f>(AM11*AM13+AM19*AM21*AM22)*'Assumptions'!$D$19</x:f>
        <x:v>98021242.95038307</x:v>
      </x:c>
      <x:c r="AN26" s="117" t="n">
        <x:f>(AN11*AN13+AN19*AN21*AN22)*'Assumptions'!$D$19</x:f>
        <x:v>104236983.16014314</x:v>
      </x:c>
      <x:c r="AO26" s="117" t="n">
        <x:f>(AO11*AO13+AO19*AO21*AO22)*'Assumptions'!$D$19</x:f>
        <x:v>122841215.20414393</x:v>
      </x:c>
      <x:c r="AP26" s="117" t="n">
        <x:f>(AP11*AP13+AP19*AP21*AP22)*'Assumptions'!$D$19</x:f>
        <x:v>138317104.57436794</x:v>
      </x:c>
      <x:c r="AQ26" s="117" t="n">
        <x:f>(AQ11*AQ13+AQ19*AQ21*AQ22)*'Assumptions'!$D$19</x:f>
        <x:v>153674811.38961548</x:v>
      </x:c>
      <x:c r="AR26" s="117" t="n">
        <x:f>(AR11*AR13+AR19*AR21*AR22)*'Assumptions'!$D$19</x:f>
        <x:v>168915241.73840645</x:v>
      </x:c>
      <x:c r="AS26" s="117" t="n">
        <x:f>(AS11*AS13+AS19*AS21*AS22)*'Assumptions'!$D$19</x:f>
        <x:v>184039294.73615605</x:v>
      </x:c>
      <x:c r="AT26" s="117" t="n">
        <x:f>(AT11*AT13+AT19*AT21*AT22)*'Assumptions'!$D$19</x:f>
        <x:v>199047862.5790304</x:v>
      </x:c>
      <x:c r="AU26" s="117" t="n">
        <x:f>(AU11*AU13+AU19*AU21*AU22)*'Assumptions'!$D$19</x:f>
        <x:v>213941830.5973847</x:v>
      </x:c>
      <x:c r="AV26" s="117" t="n">
        <x:f>(AV11*AV13+AV19*AV21*AV22)*'Assumptions'!$D$19</x:f>
        <x:v>228722077.30878755</x:v>
      </x:c>
      <x:c r="AW26" s="117" t="n">
        <x:f>(AW11*AW13+AW19*AW21*AW22)*'Assumptions'!$D$19</x:f>
        <x:v>243389474.47063428</x:v>
      </x:c>
      <x:c r="AX26" s="117" t="n">
        <x:f>(AX11*AX13+AX19*AX21*AX22)*'Assumptions'!$D$19</x:f>
        <x:v>257944887.13235235</x:v>
      </x:c>
      <x:c r="AY26" s="117" t="n">
        <x:f>(AY11*AY13+AY19*AY21*AY22)*'Assumptions'!$D$19</x:f>
        <x:v>272389173.6872026</x:v>
      </x:c>
      <x:c r="AZ26" s="117" t="n">
        <x:f>(AZ11*AZ13+AZ19*AZ21*AZ22)*'Assumptions'!$D$19</x:f>
        <x:v>286723185.92367893</x:v>
      </x:c>
      <x:c r="BA26" s="117" t="n">
        <x:f>(BA11*BA13+BA19*BA21*BA22)*'Assumptions'!$D$19</x:f>
        <x:v>325501474.02303946</x:v>
      </x:c>
      <x:c r="BB26" s="117" t="n">
        <x:f>(BB11*BB13+BB19*BB21*BB22)*'Assumptions'!$D$19</x:f>
        <x:v>356062755.24477327</x:v>
      </x:c>
      <x:c r="BC26" s="117" t="n">
        <x:f>(BC11*BC13+BC19*BC21*BC22)*'Assumptions'!$D$19</x:f>
        <x:v>386390327.39537024</x:v>
      </x:c>
      <x:c r="BD26" s="117" t="n">
        <x:f>(BD11*BD13+BD19*BD21*BD22)*'Assumptions'!$D$19</x:f>
        <x:v>416485984.67914915</x:v>
      </x:c>
      <x:c r="BE26" s="117" t="n">
        <x:f>(BE11*BE13+BE19*BE21*BE22)*'Assumptions'!$D$19</x:f>
        <x:v>446351507.47507155</x:v>
      </x:c>
      <x:c r="BF26" s="117" t="n">
        <x:f>(BF11*BF13+BF19*BF21*BF22)*'Assumptions'!$D$19</x:f>
        <x:v>475988662.44364774</x:v>
      </x:c>
      <x:c r="BG26" s="117" t="n">
        <x:f>(BG11*BG13+BG19*BG21*BG22)*'Assumptions'!$D$19</x:f>
        <x:v>505399202.6330112</x:v>
      </x:c>
      <x:c r="BH26" s="117" t="n">
        <x:f>(BH11*BH13+BH19*BH21*BH22)*'Assumptions'!$D$19</x:f>
        <x:v>534584867.58417195</x:v>
      </x:c>
      <x:c r="BI26" s="117" t="n">
        <x:f>(BI11*BI13+BI19*BI21*BI22)*'Assumptions'!$D$19</x:f>
        <x:v>563547383.4354522</x:v>
      </x:c>
      <x:c r="BJ26" s="117" t="n">
        <x:f>(BJ11*BJ13+BJ19*BJ21*BJ22)*'Assumptions'!$D$19</x:f>
        <x:v>592288463.0261132</x:v>
      </x:c>
      <x:c r="BK26" s="117" t="n">
        <x:f>(BK11*BK13+BK19*BK21*BK22)*'Assumptions'!$D$19</x:f>
        <x:v>620809805.9991763</x:v>
      </x:c>
      <x:c r="BL26" s="117" t="n">
        <x:f>(BL11*BL13+BL19*BL21*BL22)*'Assumptions'!$D$19</x:f>
        <x:v>649113098.9034486</x:v>
      </x:c>
    </x:row>
    <x:row r="27" ht="23" customHeight="1">
      <x:c r="A27" s="2"/>
      <x:c r="B27" s="2"/>
      <x:c r="C27" s="4" t="str">
        <x:v>Ending software ARR (USD)</x:v>
      </x:c>
      <x:c r="D27" s="2"/>
      <x:c r="E27" s="71" t="n">
        <x:f>E26/'Assumptions'!$D$7</x:f>
        <x:v>3186.6503048180925</x:v>
      </x:c>
      <x:c r="F27" s="71" t="n">
        <x:f>F26/'Assumptions'!$D$7</x:f>
        <x:v>6349.139088613569</x:v>
      </x:c>
      <x:c r="G27" s="71" t="n">
        <x:f>G26/'Assumptions'!$D$7</x:f>
        <x:v>9487.6503217847</x:v>
      </x:c>
      <x:c r="H27" s="71" t="n">
        <x:f>H26/'Assumptions'!$D$7</x:f>
        <x:v>12602.366568218958</x:v>
      </x:c>
      <x:c r="I27" s="71" t="n">
        <x:f>I26/'Assumptions'!$D$7</x:f>
        <x:v>15693.468996088339</x:v>
      </x:c>
      <x:c r="J27" s="71" t="n">
        <x:f>J26/'Assumptions'!$D$7</x:f>
        <x:v>18761.13738856151</x:v>
      </x:c>
      <x:c r="K27" s="71" t="n">
        <x:f>K26/'Assumptions'!$D$7</x:f>
        <x:v>21805.550154433466</x:v>
      </x:c>
      <x:c r="L27" s="71" t="n">
        <x:f>L26/'Assumptions'!$D$7</x:f>
        <x:v>24826.88433867323</x:v>
      </x:c>
      <x:c r="M27" s="71" t="n">
        <x:f>M26/'Assumptions'!$D$7</x:f>
        <x:v>27825.31563289041</x:v>
      </x:c>
      <x:c r="N27" s="71" t="n">
        <x:f>N26/'Assumptions'!$D$7</x:f>
        <x:v>30801.018385721025</x:v>
      </x:c>
      <x:c r="O27" s="71" t="n">
        <x:f>O26/'Assumptions'!$D$7</x:f>
        <x:v>33754.16561313339</x:v>
      </x:c>
      <x:c r="P27" s="71" t="n">
        <x:f>P26/'Assumptions'!$D$7</x:f>
        <x:v>36684.92900865463</x:v>
      </x:c>
      <x:c r="Q27" s="71" t="n">
        <x:f>Q26/'Assumptions'!$D$7</x:f>
        <x:v>59868.302358895584</x:v>
      </x:c>
      <x:c r="R27" s="88" t="n">
        <x:f>R26/'Assumptions'!$D$7</x:f>
        <x:v>81152.06634950006</x:v>
      </x:c>
      <x:c r="S27" s="88" t="n">
        <x:f>S26/'Assumptions'!$D$7</x:f>
        <x:v>102273.66836858772</x:v>
      </x:c>
      <x:c r="T27" s="88" t="n">
        <x:f>T26/'Assumptions'!$D$7</x:f>
        <x:v>123234.34895494783</x:v>
      </x:c>
      <x:c r="U27" s="88" t="n">
        <x:f>U26/'Assumptions'!$D$7</x:f>
        <x:v>144035.33912035823</x:v>
      </x:c>
      <x:c r="V27" s="88" t="n">
        <x:f>V26/'Assumptions'!$D$7</x:f>
        <x:v>164677.86042302032</x:v>
      </x:c>
      <x:c r="W27" s="88" t="n">
        <x:f>W26/'Assumptions'!$D$7</x:f>
        <x:v>185163.12504042606</x:v>
      </x:c>
      <x:c r="X27" s="88" t="n">
        <x:f>X26/'Assumptions'!$D$7</x:f>
        <x:v>205492.3358416614</x:v>
      </x:c>
      <x:c r="Y27" s="88" t="n">
        <x:f>Y26/'Assumptions'!$D$7</x:f>
        <x:v>225666.68645915028</x:v>
      </x:c>
      <x:c r="Z27" s="88" t="n">
        <x:f>Z26/'Assumptions'!$D$7</x:f>
        <x:v>245687.361359844</x:v>
      </x:c>
      <x:c r="AA27" s="88" t="n">
        <x:f>AA26/'Assumptions'!$D$7</x:f>
        <x:v>265555.53591586</x:v>
      </x:c>
      <x:c r="AB27" s="88" t="n">
        <x:f>AB26/'Assumptions'!$D$7</x:f>
        <x:v>285272.37647457386</x:v>
      </x:c>
      <x:c r="AC27" s="88" t="n">
        <x:f>AC26/'Assumptions'!$D$7</x:f>
        <x:v>368794.2853869806</x:v>
      </x:c>
      <x:c r="AD27" s="88" t="n">
        <x:f>AD26/'Assumptions'!$D$7</x:f>
        <x:v>443319.36773897824</x:v>
      </x:c>
      <x:c r="AE27" s="88" t="n">
        <x:f>AE26/'Assumptions'!$D$7</x:f>
        <x:v>517279.34517040435</x:v>
      </x:c>
      <x:c r="AF27" s="88" t="n">
        <x:f>AF26/'Assumptions'!$D$7</x:f>
        <x:v>590678.520850456</x:v>
      </x:c>
      <x:c r="AG27" s="88" t="n">
        <x:f>AG26/'Assumptions'!$D$7</x:f>
        <x:v>663521.1650466677</x:v>
      </x:c>
      <x:c r="AH27" s="88" t="n">
        <x:f>AH26/'Assumptions'!$D$7</x:f>
        <x:v>735811.5153774588</x:v>
      </x:c>
      <x:c r="AI27" s="88" t="n">
        <x:f>AI26/'Assumptions'!$D$7</x:f>
        <x:v>807553.7770627356</x:v>
      </x:c>
      <x:c r="AJ27" s="88" t="n">
        <x:f>AJ26/'Assumptions'!$D$7</x:f>
        <x:v>878752.1231725627</x:v>
      </x:c>
      <x:c r="AK27" s="88" t="n">
        <x:f>AK26/'Assumptions'!$D$7</x:f>
        <x:v>949410.6948739168</x:v>
      </x:c>
      <x:c r="AL27" s="88" t="n">
        <x:f>AL26/'Assumptions'!$D$7</x:f>
        <x:v>1019533.6016755435</x:v>
      </x:c>
      <x:c r="AM27" s="88" t="n">
        <x:f>AM26/'Assumptions'!$D$7</x:f>
        <x:v>1089124.921670923</x:v>
      </x:c>
      <x:c r="AN27" s="88" t="n">
        <x:f>AN26/'Assumptions'!$D$7</x:f>
        <x:v>1158188.701779368</x:v>
      </x:c>
      <x:c r="AO27" s="88" t="n">
        <x:f>AO26/'Assumptions'!$D$7</x:f>
        <x:v>1364902.3911571547</x:v>
      </x:c>
      <x:c r="AP27" s="88" t="n">
        <x:f>AP26/'Assumptions'!$D$7</x:f>
        <x:v>1536856.7174929772</x:v>
      </x:c>
      <x:c r="AQ27" s="88" t="n">
        <x:f>AQ26/'Assumptions'!$D$7</x:f>
        <x:v>1707497.9043290608</x:v>
      </x:c>
      <x:c r="AR27" s="88" t="n">
        <x:f>AR26/'Assumptions'!$D$7</x:f>
        <x:v>1876836.0193156272</x:v>
      </x:c>
      <x:c r="AS27" s="88" t="n">
        <x:f>AS26/'Assumptions'!$D$7</x:f>
        <x:v>2044881.052623956</x:v>
      </x:c>
      <x:c r="AT27" s="88" t="n">
        <x:f>AT26/'Assumptions'!$D$7</x:f>
        <x:v>2211642.917544782</x:v>
      </x:c>
      <x:c r="AU27" s="88" t="n">
        <x:f>AU26/'Assumptions'!$D$7</x:f>
        <x:v>2377131.451082052</x:v>
      </x:c>
      <x:c r="AV27" s="88" t="n">
        <x:f>AV26/'Assumptions'!$D$7</x:f>
        <x:v>2541356.414542084</x:v>
      </x:c>
      <x:c r="AW27" s="88" t="n">
        <x:f>AW26/'Assumptions'!$D$7</x:f>
        <x:v>2704327.4941181587</x:v>
      </x:c>
      <x:c r="AX27" s="88" t="n">
        <x:f>AX26/'Assumptions'!$D$7</x:f>
        <x:v>2866054.301470582</x:v>
      </x:c>
      <x:c r="AY27" s="88" t="n">
        <x:f>AY26/'Assumptions'!$D$7</x:f>
        <x:v>3026546.374302251</x:v>
      </x:c>
      <x:c r="AZ27" s="88" t="n">
        <x:f>AZ26/'Assumptions'!$D$7</x:f>
        <x:v>3185813.176929766</x:v>
      </x:c>
      <x:c r="BA27" s="88" t="n">
        <x:f>BA26/'Assumptions'!$D$7</x:f>
        <x:v>3616683.0447004386</x:v>
      </x:c>
      <x:c r="BB27" s="88" t="n">
        <x:f>BB26/'Assumptions'!$D$7</x:f>
        <x:v>3956252.836053036</x:v>
      </x:c>
      <x:c r="BC27" s="88" t="n">
        <x:f>BC26/'Assumptions'!$D$7</x:f>
        <x:v>4293225.859948559</x:v>
      </x:c>
      <x:c r="BD27" s="88" t="n">
        <x:f>BD26/'Assumptions'!$D$7</x:f>
        <x:v>4627622.051990546</x:v>
      </x:c>
      <x:c r="BE27" s="88" t="n">
        <x:f>BE26/'Assumptions'!$D$7</x:f>
        <x:v>4959461.194167461</x:v>
      </x:c>
      <x:c r="BF27" s="88" t="n">
        <x:f>BF26/'Assumptions'!$D$7</x:f>
        <x:v>5288762.91604053</x:v>
      </x:c>
      <x:c r="BG27" s="88" t="n">
        <x:f>BG26/'Assumptions'!$D$7</x:f>
        <x:v>5615546.695922347</x:v>
      </x:c>
      <x:c r="BH27" s="88" t="n">
        <x:f>BH26/'Assumptions'!$D$7</x:f>
        <x:v>5939831.862046355</x:v>
      </x:c>
      <x:c r="BI27" s="88" t="n">
        <x:f>BI26/'Assumptions'!$D$7</x:f>
        <x:v>6261637.593727247</x:v>
      </x:c>
      <x:c r="BJ27" s="88" t="n">
        <x:f>BJ26/'Assumptions'!$D$7</x:f>
        <x:v>6580982.922512368</x:v>
      </x:c>
      <x:c r="BK27" s="88" t="n">
        <x:f>BK26/'Assumptions'!$D$7</x:f>
        <x:v>6897886.73332418</x:v>
      </x:c>
      <x:c r="BL27" s="88" t="n">
        <x:f>BL26/'Assumptions'!$D$7</x:f>
        <x:v>7212367.765593873</x:v>
      </x:c>
    </x:row>
    <x:row r="28" ht="23" customHeight="1">
      <x:c r="A28" s="2"/>
      <x:c r="B28" s="2"/>
      <x:c r="C28" s="118" t="str">
        <x:v>Ending ARR growth YoY</x:v>
      </x:c>
      <x:c r="D28" s="119"/>
      <x:c r="E28" s="120" t="str">
        <x:f>"n.a."</x:f>
        <x:v>n.a.</x:v>
      </x:c>
      <x:c r="F28" s="120" t="str">
        <x:f>"n.a."</x:f>
        <x:v>n.a.</x:v>
      </x:c>
      <x:c r="G28" s="120" t="str">
        <x:f>"n.a."</x:f>
        <x:v>n.a.</x:v>
      </x:c>
      <x:c r="H28" s="120" t="str">
        <x:f>"n.a."</x:f>
        <x:v>n.a.</x:v>
      </x:c>
      <x:c r="I28" s="120" t="str">
        <x:f>"n.a."</x:f>
        <x:v>n.a.</x:v>
      </x:c>
      <x:c r="J28" s="120" t="str">
        <x:f>"n.a."</x:f>
        <x:v>n.a.</x:v>
      </x:c>
      <x:c r="K28" s="120" t="str">
        <x:f>"n.a."</x:f>
        <x:v>n.a.</x:v>
      </x:c>
      <x:c r="L28" s="120" t="str">
        <x:f>"n.a."</x:f>
        <x:v>n.a.</x:v>
      </x:c>
      <x:c r="M28" s="120" t="str">
        <x:f>"n.a."</x:f>
        <x:v>n.a.</x:v>
      </x:c>
      <x:c r="N28" s="120" t="str">
        <x:f>"n.a."</x:f>
        <x:v>n.a.</x:v>
      </x:c>
      <x:c r="O28" s="120" t="str">
        <x:f>"n.a."</x:f>
        <x:v>n.a.</x:v>
      </x:c>
      <x:c r="P28" s="120" t="str">
        <x:f>"n.a."</x:f>
        <x:v>n.a.</x:v>
      </x:c>
      <x:c r="Q28" s="120" t="n">
        <x:f>Q26/E26-1</x:f>
        <x:v>17.78722063364688</x:v>
      </x:c>
      <x:c r="R28" s="121" t="n">
        <x:f>R26/F26-1</x:f>
        <x:v>11.781585852330235</x:v>
      </x:c>
      <x:c r="S28" s="121" t="n">
        <x:f>S26/G26-1</x:f>
        <x:v>9.779662498074575</x:v>
      </x:c>
      <x:c r="T28" s="121" t="n">
        <x:f>T26/H26-1</x:f>
        <x:v>8.778667227925592</x:v>
      </x:c>
      <x:c r="U28" s="121" t="n">
        <x:f>U26/I26-1</x:f>
        <x:v>8.178043373091038</x:v>
      </x:c>
      <x:c r="V28" s="121" t="n">
        <x:f>V26/J26-1</x:f>
        <x:v>7.777605377135762</x:v>
      </x:c>
      <x:c r="W28" s="121" t="n">
        <x:f>W26/K26-1</x:f>
        <x:v>7.491559430009566</x:v>
      </x:c>
      <x:c r="X28" s="121" t="n">
        <x:f>X26/L26-1</x:f>
        <x:v>7.2770086265541885</x:v>
      </x:c>
      <x:c r="Y28" s="121" t="n">
        <x:f>Y26/M26-1</x:f>
        <x:v>7.110121352672278</x:v>
      </x:c>
      <x:c r="Z28" s="121" t="n">
        <x:f>Z26/N26-1</x:f>
        <x:v>6.9765986397950295</x:v>
      </x:c>
      <x:c r="AA28" s="121" t="n">
        <x:f>AA26/O26-1</x:f>
        <x:v>6.867341144185627</x:v>
      </x:c>
      <x:c r="AB28" s="121" t="n">
        <x:f>AB26/P26-1</x:f>
        <x:v>6.776282636590983</x:v>
      </x:c>
      <x:c r="AC28" s="121" t="n">
        <x:f>AC26/Q26-1</x:f>
        <x:v>5.160092584154978</x:v>
      </x:c>
      <x:c r="AD28" s="121" t="n">
        <x:f>AD26/R26-1</x:f>
        <x:v>4.4628229160514685</x:v>
      </x:c>
      <x:c r="AE28" s="121" t="n">
        <x:f>AE26/S26-1</x:f>
        <x:v>4.057795945151423</x:v>
      </x:c>
      <x:c r="AF28" s="121" t="n">
        <x:f>AF26/T26-1</x:f>
        <x:v>3.7931321572234458</x:v>
      </x:c>
      <x:c r="AG28" s="121" t="n">
        <x:f>AG26/U26-1</x:f>
        <x:v>3.606655346520334</x:v>
      </x:c>
      <x:c r="AH28" s="121" t="n">
        <x:f>AH26/V26-1</x:f>
        <x:v>3.468187244401432</x:v>
      </x:c>
      <x:c r="AI28" s="121" t="n">
        <x:f>AI26/W26-1</x:f>
        <x:v>3.361309936232849</x:v>
      </x:c>
      <x:c r="AJ28" s="121" t="n">
        <x:f>AJ26/X26-1</x:f>
        <x:v>3.2763255358081578</x:v>
      </x:c>
      <x:c r="AK28" s="121" t="n">
        <x:f>AK26/Y26-1</x:f>
        <x:v>3.2071371267543167</x:v>
      </x:c>
      <x:c r="AL28" s="121" t="n">
        <x:f>AL26/Z26-1</x:f>
        <x:v>3.149719367054831</x:v>
      </x:c>
      <x:c r="AM28" s="121" t="n">
        <x:f>AM26/AA26-1</x:f>
        <x:v>3.1013075397381558</x:v>
      </x:c>
      <x:c r="AN28" s="121" t="n">
        <x:f>AN26/AB26-1</x:f>
        <x:v>3.059939893558523</x:v>
      </x:c>
      <x:c r="AO28" s="121" t="n">
        <x:f>AO26/AC26-1</x:f>
        <x:v>2.700985739854794</x:v>
      </x:c>
      <x:c r="AP28" s="121" t="n">
        <x:f>AP26/AD26-1</x:f>
        <x:v>2.466703305409977</x:v>
      </x:c>
      <x:c r="AQ28" s="121" t="n">
        <x:f>AQ26/AE26-1</x:f>
        <x:v>2.300920325296518</x:v>
      </x:c>
      <x:c r="AR28" s="121" t="n">
        <x:f>AR26/AF26-1</x:f>
        <x:v>2.1774238491241698</x:v>
      </x:c>
      <x:c r="AS28" s="121" t="n">
        <x:f>AS26/AG26-1</x:f>
        <x:v>2.0818625845644765</x:v>
      </x:c>
      <x:c r="AT28" s="121" t="n">
        <x:f>AT26/AH26-1</x:f>
        <x:v>2.005719360630347</x:v>
      </x:c>
      <x:c r="AU28" s="121" t="n">
        <x:f>AU26/AI26-1</x:f>
        <x:v>1.9436200022842347</x:v>
      </x:c>
      <x:c r="AV28" s="121" t="n">
        <x:f>AV26/AJ26-1</x:f>
        <x:v>1.8920060020646252</x:v>
      </x:c>
      <x:c r="AW28" s="121" t="n">
        <x:f>AW26/AK26-1</x:f>
        <x:v>1.8484274600227644</x:v>
      </x:c>
      <x:c r="AX28" s="121" t="n">
        <x:f>AX26/AL26-1</x:f>
        <x:v>1.8111425624034263</x:v>
      </x:c>
      <x:c r="AY28" s="121" t="n">
        <x:f>AY26/AM26-1</x:f>
        <x:v>1.7788790010047313</x:v>
      </x:c>
      <x:c r="AZ28" s="121" t="n">
        <x:f>AZ26/AN26-1</x:f>
        <x:v>1.750685766520847</x:v>
      </x:c>
      <x:c r="BA28" s="121" t="n">
        <x:f>BA26/AO26-1</x:f>
        <x:v>1.6497741290014445</x:v>
      </x:c>
      <x:c r="BB28" s="121" t="n">
        <x:f>BB26/AP26-1</x:f>
        <x:v>1.574249629794207</x:v>
      </x:c>
      <x:c r="BC28" s="121" t="n">
        <x:f>BC26/AQ26-1</x:f>
        <x:v>1.5143374109355205</x:v>
      </x:c>
      <x:c r="BD28" s="121" t="n">
        <x:f>BD26/AR26-1</x:f>
        <x:v>1.4656507038254576</x:v>
      </x:c>
      <x:c r="BE28" s="121" t="n">
        <x:f>BE26/AS26-1</x:f>
        <x:v>1.4253054659602653</x:v>
      </x:c>
      <x:c r="BF28" s="121" t="n">
        <x:f>BF26/AT26-1</x:f>
        <x:v>1.3913276750442884</x:v>
      </x:c>
      <x:c r="BG28" s="121" t="n">
        <x:f>BG26/AU26-1</x:f>
        <x:v>1.3623206421193883</x:v>
      </x:c>
      <x:c r="BH28" s="121" t="n">
        <x:f>BH26/AV26-1</x:f>
        <x:v>1.3372683296438086</x:v>
      </x:c>
      <x:c r="BI28" s="121" t="n">
        <x:f>BI26/AW26-1</x:f>
        <x:v>1.3154139457392438</x:v>
      </x:c>
      <x:c r="BJ28" s="121" t="n">
        <x:f>BJ26/AX26-1</x:f>
        <x:v>1.2961822178790001</x:v>
      </x:c>
      <x:c r="BK28" s="121" t="n">
        <x:f>BK26/AY26-1</x:f>
        <x:v>1.2791280490174022</x:v>
      </x:c>
      <x:c r="BL28" s="121" t="n">
        <x:f>BL26/AZ26-1</x:f>
        <x:v>1.263901668127502</x:v>
      </x:c>
    </x:row>
    <x:row r="29" ht="23" customHeight="1">
      <x:c r="A29" s="2"/>
      <x:c r="B29" s="2"/>
      <x:c r="C29" s="20" t="str">
        <x:v>Custom services</x:v>
      </x:c>
      <x:c r="D29" s="21"/>
      <x:c r="E29" s="21"/>
      <x:c r="F29" s="21"/>
      <x:c r="G29" s="21"/>
      <x:c r="H29" s="21"/>
      <x:c r="I29" s="21"/>
      <x:c r="J29" s="21"/>
      <x:c r="K29" s="21"/>
      <x:c r="L29" s="21"/>
      <x:c r="M29" s="21"/>
      <x:c r="N29" s="21"/>
      <x:c r="O29" s="21"/>
      <x:c r="P29" s="21"/>
      <x:c r="Q29" s="21"/>
      <x:c r="R29" s="62"/>
      <x:c r="S29" s="62"/>
      <x:c r="T29" s="62"/>
      <x:c r="U29" s="62"/>
      <x:c r="V29" s="62"/>
      <x:c r="W29" s="62"/>
      <x:c r="X29" s="62"/>
      <x:c r="Y29" s="62"/>
      <x:c r="Z29" s="62"/>
      <x:c r="AA29" s="62"/>
      <x:c r="AB29" s="62"/>
      <x:c r="AC29" s="62"/>
      <x:c r="AD29" s="62"/>
      <x:c r="AE29" s="62"/>
      <x:c r="AF29" s="62"/>
      <x:c r="AG29" s="62"/>
      <x:c r="AH29" s="62"/>
      <x:c r="AI29" s="62"/>
      <x:c r="AJ29" s="62"/>
      <x:c r="AK29" s="62"/>
      <x:c r="AL29" s="62"/>
      <x:c r="AM29" s="62"/>
      <x:c r="AN29" s="62"/>
      <x:c r="AO29" s="62"/>
      <x:c r="AP29" s="62"/>
      <x:c r="AQ29" s="62"/>
      <x:c r="AR29" s="62"/>
      <x:c r="AS29" s="62"/>
      <x:c r="AT29" s="62"/>
      <x:c r="AU29" s="62"/>
      <x:c r="AV29" s="62"/>
      <x:c r="AW29" s="62"/>
      <x:c r="AX29" s="62"/>
      <x:c r="AY29" s="62"/>
      <x:c r="AZ29" s="62"/>
      <x:c r="BA29" s="62"/>
      <x:c r="BB29" s="62"/>
      <x:c r="BC29" s="62"/>
      <x:c r="BD29" s="62"/>
      <x:c r="BE29" s="62"/>
      <x:c r="BF29" s="62"/>
      <x:c r="BG29" s="62"/>
      <x:c r="BH29" s="62"/>
      <x:c r="BI29" s="62"/>
      <x:c r="BJ29" s="62"/>
      <x:c r="BK29" s="62"/>
      <x:c r="BL29" s="62"/>
    </x:row>
    <x:row r="30" ht="23" customHeight="1">
      <x:c r="A30" s="2"/>
      <x:c r="B30" s="2"/>
      <x:c r="C30" s="4" t="str">
        <x:v>India custom projects</x:v>
      </x:c>
      <x:c r="D30" s="2"/>
      <x:c r="E30" s="64" t="n">
        <x:f>'Assumptions'!E84</x:f>
        <x:v>1</x:v>
      </x:c>
      <x:c r="F30" s="64" t="n">
        <x:f>'Assumptions'!E84</x:f>
        <x:v>1</x:v>
      </x:c>
      <x:c r="G30" s="64" t="n">
        <x:f>'Assumptions'!E84</x:f>
        <x:v>1</x:v>
      </x:c>
      <x:c r="H30" s="64" t="n">
        <x:f>'Assumptions'!E84</x:f>
        <x:v>1</x:v>
      </x:c>
      <x:c r="I30" s="64" t="n">
        <x:f>'Assumptions'!E84</x:f>
        <x:v>1</x:v>
      </x:c>
      <x:c r="J30" s="64" t="n">
        <x:f>'Assumptions'!E84</x:f>
        <x:v>1</x:v>
      </x:c>
      <x:c r="K30" s="64" t="n">
        <x:f>'Assumptions'!E84</x:f>
        <x:v>1</x:v>
      </x:c>
      <x:c r="L30" s="64" t="n">
        <x:f>'Assumptions'!E84</x:f>
        <x:v>1</x:v>
      </x:c>
      <x:c r="M30" s="64" t="n">
        <x:f>'Assumptions'!E84</x:f>
        <x:v>1</x:v>
      </x:c>
      <x:c r="N30" s="64" t="n">
        <x:f>'Assumptions'!E84</x:f>
        <x:v>1</x:v>
      </x:c>
      <x:c r="O30" s="64" t="n">
        <x:f>'Assumptions'!E84</x:f>
        <x:v>1</x:v>
      </x:c>
      <x:c r="P30" s="64" t="n">
        <x:f>'Assumptions'!E84</x:f>
        <x:v>1</x:v>
      </x:c>
      <x:c r="Q30" s="64" t="n">
        <x:f>'Assumptions'!F84</x:f>
        <x:v>3</x:v>
      </x:c>
      <x:c r="R30" s="79" t="n">
        <x:f>'Assumptions'!F84</x:f>
        <x:v>3</x:v>
      </x:c>
      <x:c r="S30" s="79" t="n">
        <x:f>'Assumptions'!F84</x:f>
        <x:v>3</x:v>
      </x:c>
      <x:c r="T30" s="79" t="n">
        <x:f>'Assumptions'!F84</x:f>
        <x:v>3</x:v>
      </x:c>
      <x:c r="U30" s="79" t="n">
        <x:f>'Assumptions'!F84</x:f>
        <x:v>3</x:v>
      </x:c>
      <x:c r="V30" s="79" t="n">
        <x:f>'Assumptions'!F84</x:f>
        <x:v>3</x:v>
      </x:c>
      <x:c r="W30" s="79" t="n">
        <x:f>'Assumptions'!F84</x:f>
        <x:v>3</x:v>
      </x:c>
      <x:c r="X30" s="79" t="n">
        <x:f>'Assumptions'!F84</x:f>
        <x:v>3</x:v>
      </x:c>
      <x:c r="Y30" s="79" t="n">
        <x:f>'Assumptions'!F84</x:f>
        <x:v>3</x:v>
      </x:c>
      <x:c r="Z30" s="79" t="n">
        <x:f>'Assumptions'!F84</x:f>
        <x:v>3</x:v>
      </x:c>
      <x:c r="AA30" s="79" t="n">
        <x:f>'Assumptions'!F84</x:f>
        <x:v>3</x:v>
      </x:c>
      <x:c r="AB30" s="79" t="n">
        <x:f>'Assumptions'!F84</x:f>
        <x:v>3</x:v>
      </x:c>
      <x:c r="AC30" s="79" t="n">
        <x:f>'Assumptions'!G84</x:f>
        <x:v>5</x:v>
      </x:c>
      <x:c r="AD30" s="79" t="n">
        <x:f>'Assumptions'!G84</x:f>
        <x:v>5</x:v>
      </x:c>
      <x:c r="AE30" s="79" t="n">
        <x:f>'Assumptions'!G84</x:f>
        <x:v>5</x:v>
      </x:c>
      <x:c r="AF30" s="79" t="n">
        <x:f>'Assumptions'!G84</x:f>
        <x:v>5</x:v>
      </x:c>
      <x:c r="AG30" s="79" t="n">
        <x:f>'Assumptions'!G84</x:f>
        <x:v>5</x:v>
      </x:c>
      <x:c r="AH30" s="79" t="n">
        <x:f>'Assumptions'!G84</x:f>
        <x:v>5</x:v>
      </x:c>
      <x:c r="AI30" s="79" t="n">
        <x:f>'Assumptions'!G84</x:f>
        <x:v>5</x:v>
      </x:c>
      <x:c r="AJ30" s="79" t="n">
        <x:f>'Assumptions'!G84</x:f>
        <x:v>5</x:v>
      </x:c>
      <x:c r="AK30" s="79" t="n">
        <x:f>'Assumptions'!G84</x:f>
        <x:v>5</x:v>
      </x:c>
      <x:c r="AL30" s="79" t="n">
        <x:f>'Assumptions'!G84</x:f>
        <x:v>5</x:v>
      </x:c>
      <x:c r="AM30" s="79" t="n">
        <x:f>'Assumptions'!G84</x:f>
        <x:v>5</x:v>
      </x:c>
      <x:c r="AN30" s="79" t="n">
        <x:f>'Assumptions'!G84</x:f>
        <x:v>5</x:v>
      </x:c>
      <x:c r="AO30" s="79" t="n">
        <x:f>'Assumptions'!H84</x:f>
        <x:v>6</x:v>
      </x:c>
      <x:c r="AP30" s="79" t="n">
        <x:f>'Assumptions'!H84</x:f>
        <x:v>6</x:v>
      </x:c>
      <x:c r="AQ30" s="79" t="n">
        <x:f>'Assumptions'!H84</x:f>
        <x:v>6</x:v>
      </x:c>
      <x:c r="AR30" s="79" t="n">
        <x:f>'Assumptions'!H84</x:f>
        <x:v>6</x:v>
      </x:c>
      <x:c r="AS30" s="79" t="n">
        <x:f>'Assumptions'!H84</x:f>
        <x:v>6</x:v>
      </x:c>
      <x:c r="AT30" s="79" t="n">
        <x:f>'Assumptions'!H84</x:f>
        <x:v>6</x:v>
      </x:c>
      <x:c r="AU30" s="79" t="n">
        <x:f>'Assumptions'!H84</x:f>
        <x:v>6</x:v>
      </x:c>
      <x:c r="AV30" s="79" t="n">
        <x:f>'Assumptions'!H84</x:f>
        <x:v>6</x:v>
      </x:c>
      <x:c r="AW30" s="79" t="n">
        <x:f>'Assumptions'!H84</x:f>
        <x:v>6</x:v>
      </x:c>
      <x:c r="AX30" s="79" t="n">
        <x:f>'Assumptions'!H84</x:f>
        <x:v>6</x:v>
      </x:c>
      <x:c r="AY30" s="79" t="n">
        <x:f>'Assumptions'!H84</x:f>
        <x:v>6</x:v>
      </x:c>
      <x:c r="AZ30" s="79" t="n">
        <x:f>'Assumptions'!H84</x:f>
        <x:v>6</x:v>
      </x:c>
      <x:c r="BA30" s="79" t="n">
        <x:f>'Assumptions'!I84</x:f>
        <x:v>8</x:v>
      </x:c>
      <x:c r="BB30" s="79" t="n">
        <x:f>'Assumptions'!I84</x:f>
        <x:v>8</x:v>
      </x:c>
      <x:c r="BC30" s="79" t="n">
        <x:f>'Assumptions'!I84</x:f>
        <x:v>8</x:v>
      </x:c>
      <x:c r="BD30" s="79" t="n">
        <x:f>'Assumptions'!I84</x:f>
        <x:v>8</x:v>
      </x:c>
      <x:c r="BE30" s="79" t="n">
        <x:f>'Assumptions'!I84</x:f>
        <x:v>8</x:v>
      </x:c>
      <x:c r="BF30" s="79" t="n">
        <x:f>'Assumptions'!I84</x:f>
        <x:v>8</x:v>
      </x:c>
      <x:c r="BG30" s="79" t="n">
        <x:f>'Assumptions'!I84</x:f>
        <x:v>8</x:v>
      </x:c>
      <x:c r="BH30" s="79" t="n">
        <x:f>'Assumptions'!I84</x:f>
        <x:v>8</x:v>
      </x:c>
      <x:c r="BI30" s="79" t="n">
        <x:f>'Assumptions'!I84</x:f>
        <x:v>8</x:v>
      </x:c>
      <x:c r="BJ30" s="79" t="n">
        <x:f>'Assumptions'!I84</x:f>
        <x:v>8</x:v>
      </x:c>
      <x:c r="BK30" s="79" t="n">
        <x:f>'Assumptions'!I84</x:f>
        <x:v>8</x:v>
      </x:c>
      <x:c r="BL30" s="79" t="n">
        <x:f>'Assumptions'!I84</x:f>
        <x:v>8</x:v>
      </x:c>
    </x:row>
    <x:row r="31" ht="23" customHeight="1">
      <x:c r="A31" s="2"/>
      <x:c r="B31" s="2"/>
      <x:c r="C31" s="4" t="str">
        <x:v>India custom revenue</x:v>
      </x:c>
      <x:c r="D31" s="2"/>
      <x:c r="E31" s="69" t="n">
        <x:f>E30*'Assumptions'!E96</x:f>
        <x:v>49999</x:v>
      </x:c>
      <x:c r="F31" s="69" t="n">
        <x:f>F30*'Assumptions'!E96</x:f>
        <x:v>49999</x:v>
      </x:c>
      <x:c r="G31" s="69" t="n">
        <x:f>G30*'Assumptions'!E96</x:f>
        <x:v>49999</x:v>
      </x:c>
      <x:c r="H31" s="69" t="n">
        <x:f>H30*'Assumptions'!E96</x:f>
        <x:v>49999</x:v>
      </x:c>
      <x:c r="I31" s="69" t="n">
        <x:f>I30*'Assumptions'!E96</x:f>
        <x:v>49999</x:v>
      </x:c>
      <x:c r="J31" s="69" t="n">
        <x:f>J30*'Assumptions'!E96</x:f>
        <x:v>49999</x:v>
      </x:c>
      <x:c r="K31" s="69" t="n">
        <x:f>K30*'Assumptions'!E96</x:f>
        <x:v>49999</x:v>
      </x:c>
      <x:c r="L31" s="69" t="n">
        <x:f>L30*'Assumptions'!E96</x:f>
        <x:v>49999</x:v>
      </x:c>
      <x:c r="M31" s="69" t="n">
        <x:f>M30*'Assumptions'!E96</x:f>
        <x:v>49999</x:v>
      </x:c>
      <x:c r="N31" s="69" t="n">
        <x:f>N30*'Assumptions'!E96</x:f>
        <x:v>49999</x:v>
      </x:c>
      <x:c r="O31" s="69" t="n">
        <x:f>O30*'Assumptions'!E96</x:f>
        <x:v>49999</x:v>
      </x:c>
      <x:c r="P31" s="69" t="n">
        <x:f>P30*'Assumptions'!E96</x:f>
        <x:v>49999</x:v>
      </x:c>
      <x:c r="Q31" s="69" t="n">
        <x:f>Q30*'Assumptions'!F96</x:f>
        <x:v>149997</x:v>
      </x:c>
      <x:c r="R31" s="86" t="n">
        <x:f>R30*'Assumptions'!F96</x:f>
        <x:v>149997</x:v>
      </x:c>
      <x:c r="S31" s="86" t="n">
        <x:f>S30*'Assumptions'!F96</x:f>
        <x:v>149997</x:v>
      </x:c>
      <x:c r="T31" s="86" t="n">
        <x:f>T30*'Assumptions'!F96</x:f>
        <x:v>149997</x:v>
      </x:c>
      <x:c r="U31" s="86" t="n">
        <x:f>U30*'Assumptions'!F96</x:f>
        <x:v>149997</x:v>
      </x:c>
      <x:c r="V31" s="86" t="n">
        <x:f>V30*'Assumptions'!F96</x:f>
        <x:v>149997</x:v>
      </x:c>
      <x:c r="W31" s="86" t="n">
        <x:f>W30*'Assumptions'!F96</x:f>
        <x:v>149997</x:v>
      </x:c>
      <x:c r="X31" s="86" t="n">
        <x:f>X30*'Assumptions'!F96</x:f>
        <x:v>149997</x:v>
      </x:c>
      <x:c r="Y31" s="86" t="n">
        <x:f>Y30*'Assumptions'!F96</x:f>
        <x:v>149997</x:v>
      </x:c>
      <x:c r="Z31" s="86" t="n">
        <x:f>Z30*'Assumptions'!F96</x:f>
        <x:v>149997</x:v>
      </x:c>
      <x:c r="AA31" s="86" t="n">
        <x:f>AA30*'Assumptions'!F96</x:f>
        <x:v>149997</x:v>
      </x:c>
      <x:c r="AB31" s="86" t="n">
        <x:f>AB30*'Assumptions'!F96</x:f>
        <x:v>149997</x:v>
      </x:c>
      <x:c r="AC31" s="86" t="n">
        <x:f>AC30*'Assumptions'!G96</x:f>
        <x:v>249995</x:v>
      </x:c>
      <x:c r="AD31" s="86" t="n">
        <x:f>AD30*'Assumptions'!G96</x:f>
        <x:v>249995</x:v>
      </x:c>
      <x:c r="AE31" s="86" t="n">
        <x:f>AE30*'Assumptions'!G96</x:f>
        <x:v>249995</x:v>
      </x:c>
      <x:c r="AF31" s="86" t="n">
        <x:f>AF30*'Assumptions'!G96</x:f>
        <x:v>249995</x:v>
      </x:c>
      <x:c r="AG31" s="86" t="n">
        <x:f>AG30*'Assumptions'!G96</x:f>
        <x:v>249995</x:v>
      </x:c>
      <x:c r="AH31" s="86" t="n">
        <x:f>AH30*'Assumptions'!G96</x:f>
        <x:v>249995</x:v>
      </x:c>
      <x:c r="AI31" s="86" t="n">
        <x:f>AI30*'Assumptions'!G96</x:f>
        <x:v>249995</x:v>
      </x:c>
      <x:c r="AJ31" s="86" t="n">
        <x:f>AJ30*'Assumptions'!G96</x:f>
        <x:v>249995</x:v>
      </x:c>
      <x:c r="AK31" s="86" t="n">
        <x:f>AK30*'Assumptions'!G96</x:f>
        <x:v>249995</x:v>
      </x:c>
      <x:c r="AL31" s="86" t="n">
        <x:f>AL30*'Assumptions'!G96</x:f>
        <x:v>249995</x:v>
      </x:c>
      <x:c r="AM31" s="86" t="n">
        <x:f>AM30*'Assumptions'!G96</x:f>
        <x:v>249995</x:v>
      </x:c>
      <x:c r="AN31" s="86" t="n">
        <x:f>AN30*'Assumptions'!G96</x:f>
        <x:v>249995</x:v>
      </x:c>
      <x:c r="AO31" s="86" t="n">
        <x:f>AO30*'Assumptions'!H96</x:f>
        <x:v>299994</x:v>
      </x:c>
      <x:c r="AP31" s="86" t="n">
        <x:f>AP30*'Assumptions'!H96</x:f>
        <x:v>299994</x:v>
      </x:c>
      <x:c r="AQ31" s="86" t="n">
        <x:f>AQ30*'Assumptions'!H96</x:f>
        <x:v>299994</x:v>
      </x:c>
      <x:c r="AR31" s="86" t="n">
        <x:f>AR30*'Assumptions'!H96</x:f>
        <x:v>299994</x:v>
      </x:c>
      <x:c r="AS31" s="86" t="n">
        <x:f>AS30*'Assumptions'!H96</x:f>
        <x:v>299994</x:v>
      </x:c>
      <x:c r="AT31" s="86" t="n">
        <x:f>AT30*'Assumptions'!H96</x:f>
        <x:v>299994</x:v>
      </x:c>
      <x:c r="AU31" s="86" t="n">
        <x:f>AU30*'Assumptions'!H96</x:f>
        <x:v>299994</x:v>
      </x:c>
      <x:c r="AV31" s="86" t="n">
        <x:f>AV30*'Assumptions'!H96</x:f>
        <x:v>299994</x:v>
      </x:c>
      <x:c r="AW31" s="86" t="n">
        <x:f>AW30*'Assumptions'!H96</x:f>
        <x:v>299994</x:v>
      </x:c>
      <x:c r="AX31" s="86" t="n">
        <x:f>AX30*'Assumptions'!H96</x:f>
        <x:v>299994</x:v>
      </x:c>
      <x:c r="AY31" s="86" t="n">
        <x:f>AY30*'Assumptions'!H96</x:f>
        <x:v>299994</x:v>
      </x:c>
      <x:c r="AZ31" s="86" t="n">
        <x:f>AZ30*'Assumptions'!H96</x:f>
        <x:v>299994</x:v>
      </x:c>
      <x:c r="BA31" s="86" t="n">
        <x:f>BA30*'Assumptions'!I96</x:f>
        <x:v>399992</x:v>
      </x:c>
      <x:c r="BB31" s="86" t="n">
        <x:f>BB30*'Assumptions'!I96</x:f>
        <x:v>399992</x:v>
      </x:c>
      <x:c r="BC31" s="86" t="n">
        <x:f>BC30*'Assumptions'!I96</x:f>
        <x:v>399992</x:v>
      </x:c>
      <x:c r="BD31" s="86" t="n">
        <x:f>BD30*'Assumptions'!I96</x:f>
        <x:v>399992</x:v>
      </x:c>
      <x:c r="BE31" s="86" t="n">
        <x:f>BE30*'Assumptions'!I96</x:f>
        <x:v>399992</x:v>
      </x:c>
      <x:c r="BF31" s="86" t="n">
        <x:f>BF30*'Assumptions'!I96</x:f>
        <x:v>399992</x:v>
      </x:c>
      <x:c r="BG31" s="86" t="n">
        <x:f>BG30*'Assumptions'!I96</x:f>
        <x:v>399992</x:v>
      </x:c>
      <x:c r="BH31" s="86" t="n">
        <x:f>BH30*'Assumptions'!I96</x:f>
        <x:v>399992</x:v>
      </x:c>
      <x:c r="BI31" s="86" t="n">
        <x:f>BI30*'Assumptions'!I96</x:f>
        <x:v>399992</x:v>
      </x:c>
      <x:c r="BJ31" s="86" t="n">
        <x:f>BJ30*'Assumptions'!I96</x:f>
        <x:v>399992</x:v>
      </x:c>
      <x:c r="BK31" s="86" t="n">
        <x:f>BK30*'Assumptions'!I96</x:f>
        <x:v>399992</x:v>
      </x:c>
      <x:c r="BL31" s="86" t="n">
        <x:f>BL30*'Assumptions'!I96</x:f>
        <x:v>399992</x:v>
      </x:c>
    </x:row>
    <x:row r="32" ht="23" customHeight="1">
      <x:c r="A32" s="2"/>
      <x:c r="B32" s="2"/>
      <x:c r="C32" s="4" t="str">
        <x:v>UAE custom projects</x:v>
      </x:c>
      <x:c r="D32" s="2"/>
      <x:c r="E32" s="64" t="n">
        <x:f>'Assumptions'!E88</x:f>
        <x:v>0.5</x:v>
      </x:c>
      <x:c r="F32" s="64" t="n">
        <x:f>'Assumptions'!E88</x:f>
        <x:v>0.5</x:v>
      </x:c>
      <x:c r="G32" s="64" t="n">
        <x:f>'Assumptions'!E88</x:f>
        <x:v>0.5</x:v>
      </x:c>
      <x:c r="H32" s="64" t="n">
        <x:f>'Assumptions'!E88</x:f>
        <x:v>0.5</x:v>
      </x:c>
      <x:c r="I32" s="64" t="n">
        <x:f>'Assumptions'!E88</x:f>
        <x:v>0.5</x:v>
      </x:c>
      <x:c r="J32" s="64" t="n">
        <x:f>'Assumptions'!E88</x:f>
        <x:v>0.5</x:v>
      </x:c>
      <x:c r="K32" s="64" t="n">
        <x:f>'Assumptions'!E88</x:f>
        <x:v>0.5</x:v>
      </x:c>
      <x:c r="L32" s="64" t="n">
        <x:f>'Assumptions'!E88</x:f>
        <x:v>0.5</x:v>
      </x:c>
      <x:c r="M32" s="64" t="n">
        <x:f>'Assumptions'!E88</x:f>
        <x:v>0.5</x:v>
      </x:c>
      <x:c r="N32" s="64" t="n">
        <x:f>'Assumptions'!E88</x:f>
        <x:v>0.5</x:v>
      </x:c>
      <x:c r="O32" s="64" t="n">
        <x:f>'Assumptions'!E88</x:f>
        <x:v>0.5</x:v>
      </x:c>
      <x:c r="P32" s="64" t="n">
        <x:f>'Assumptions'!E88</x:f>
        <x:v>0.5</x:v>
      </x:c>
      <x:c r="Q32" s="64" t="n">
        <x:f>'Assumptions'!F88</x:f>
        <x:v>1</x:v>
      </x:c>
      <x:c r="R32" s="79" t="n">
        <x:f>'Assumptions'!F88</x:f>
        <x:v>1</x:v>
      </x:c>
      <x:c r="S32" s="79" t="n">
        <x:f>'Assumptions'!F88</x:f>
        <x:v>1</x:v>
      </x:c>
      <x:c r="T32" s="79" t="n">
        <x:f>'Assumptions'!F88</x:f>
        <x:v>1</x:v>
      </x:c>
      <x:c r="U32" s="79" t="n">
        <x:f>'Assumptions'!F88</x:f>
        <x:v>1</x:v>
      </x:c>
      <x:c r="V32" s="79" t="n">
        <x:f>'Assumptions'!F88</x:f>
        <x:v>1</x:v>
      </x:c>
      <x:c r="W32" s="79" t="n">
        <x:f>'Assumptions'!F88</x:f>
        <x:v>1</x:v>
      </x:c>
      <x:c r="X32" s="79" t="n">
        <x:f>'Assumptions'!F88</x:f>
        <x:v>1</x:v>
      </x:c>
      <x:c r="Y32" s="79" t="n">
        <x:f>'Assumptions'!F88</x:f>
        <x:v>1</x:v>
      </x:c>
      <x:c r="Z32" s="79" t="n">
        <x:f>'Assumptions'!F88</x:f>
        <x:v>1</x:v>
      </x:c>
      <x:c r="AA32" s="79" t="n">
        <x:f>'Assumptions'!F88</x:f>
        <x:v>1</x:v>
      </x:c>
      <x:c r="AB32" s="79" t="n">
        <x:f>'Assumptions'!F88</x:f>
        <x:v>1</x:v>
      </x:c>
      <x:c r="AC32" s="79" t="n">
        <x:f>'Assumptions'!G88</x:f>
        <x:v>2</x:v>
      </x:c>
      <x:c r="AD32" s="79" t="n">
        <x:f>'Assumptions'!G88</x:f>
        <x:v>2</x:v>
      </x:c>
      <x:c r="AE32" s="79" t="n">
        <x:f>'Assumptions'!G88</x:f>
        <x:v>2</x:v>
      </x:c>
      <x:c r="AF32" s="79" t="n">
        <x:f>'Assumptions'!G88</x:f>
        <x:v>2</x:v>
      </x:c>
      <x:c r="AG32" s="79" t="n">
        <x:f>'Assumptions'!G88</x:f>
        <x:v>2</x:v>
      </x:c>
      <x:c r="AH32" s="79" t="n">
        <x:f>'Assumptions'!G88</x:f>
        <x:v>2</x:v>
      </x:c>
      <x:c r="AI32" s="79" t="n">
        <x:f>'Assumptions'!G88</x:f>
        <x:v>2</x:v>
      </x:c>
      <x:c r="AJ32" s="79" t="n">
        <x:f>'Assumptions'!G88</x:f>
        <x:v>2</x:v>
      </x:c>
      <x:c r="AK32" s="79" t="n">
        <x:f>'Assumptions'!G88</x:f>
        <x:v>2</x:v>
      </x:c>
      <x:c r="AL32" s="79" t="n">
        <x:f>'Assumptions'!G88</x:f>
        <x:v>2</x:v>
      </x:c>
      <x:c r="AM32" s="79" t="n">
        <x:f>'Assumptions'!G88</x:f>
        <x:v>2</x:v>
      </x:c>
      <x:c r="AN32" s="79" t="n">
        <x:f>'Assumptions'!G88</x:f>
        <x:v>2</x:v>
      </x:c>
      <x:c r="AO32" s="79" t="n">
        <x:f>'Assumptions'!H88</x:f>
        <x:v>3</x:v>
      </x:c>
      <x:c r="AP32" s="79" t="n">
        <x:f>'Assumptions'!H88</x:f>
        <x:v>3</x:v>
      </x:c>
      <x:c r="AQ32" s="79" t="n">
        <x:f>'Assumptions'!H88</x:f>
        <x:v>3</x:v>
      </x:c>
      <x:c r="AR32" s="79" t="n">
        <x:f>'Assumptions'!H88</x:f>
        <x:v>3</x:v>
      </x:c>
      <x:c r="AS32" s="79" t="n">
        <x:f>'Assumptions'!H88</x:f>
        <x:v>3</x:v>
      </x:c>
      <x:c r="AT32" s="79" t="n">
        <x:f>'Assumptions'!H88</x:f>
        <x:v>3</x:v>
      </x:c>
      <x:c r="AU32" s="79" t="n">
        <x:f>'Assumptions'!H88</x:f>
        <x:v>3</x:v>
      </x:c>
      <x:c r="AV32" s="79" t="n">
        <x:f>'Assumptions'!H88</x:f>
        <x:v>3</x:v>
      </x:c>
      <x:c r="AW32" s="79" t="n">
        <x:f>'Assumptions'!H88</x:f>
        <x:v>3</x:v>
      </x:c>
      <x:c r="AX32" s="79" t="n">
        <x:f>'Assumptions'!H88</x:f>
        <x:v>3</x:v>
      </x:c>
      <x:c r="AY32" s="79" t="n">
        <x:f>'Assumptions'!H88</x:f>
        <x:v>3</x:v>
      </x:c>
      <x:c r="AZ32" s="79" t="n">
        <x:f>'Assumptions'!H88</x:f>
        <x:v>3</x:v>
      </x:c>
      <x:c r="BA32" s="79" t="n">
        <x:f>'Assumptions'!I88</x:f>
        <x:v>4</x:v>
      </x:c>
      <x:c r="BB32" s="79" t="n">
        <x:f>'Assumptions'!I88</x:f>
        <x:v>4</x:v>
      </x:c>
      <x:c r="BC32" s="79" t="n">
        <x:f>'Assumptions'!I88</x:f>
        <x:v>4</x:v>
      </x:c>
      <x:c r="BD32" s="79" t="n">
        <x:f>'Assumptions'!I88</x:f>
        <x:v>4</x:v>
      </x:c>
      <x:c r="BE32" s="79" t="n">
        <x:f>'Assumptions'!I88</x:f>
        <x:v>4</x:v>
      </x:c>
      <x:c r="BF32" s="79" t="n">
        <x:f>'Assumptions'!I88</x:f>
        <x:v>4</x:v>
      </x:c>
      <x:c r="BG32" s="79" t="n">
        <x:f>'Assumptions'!I88</x:f>
        <x:v>4</x:v>
      </x:c>
      <x:c r="BH32" s="79" t="n">
        <x:f>'Assumptions'!I88</x:f>
        <x:v>4</x:v>
      </x:c>
      <x:c r="BI32" s="79" t="n">
        <x:f>'Assumptions'!I88</x:f>
        <x:v>4</x:v>
      </x:c>
      <x:c r="BJ32" s="79" t="n">
        <x:f>'Assumptions'!I88</x:f>
        <x:v>4</x:v>
      </x:c>
      <x:c r="BK32" s="79" t="n">
        <x:f>'Assumptions'!I88</x:f>
        <x:v>4</x:v>
      </x:c>
      <x:c r="BL32" s="79" t="n">
        <x:f>'Assumptions'!I88</x:f>
        <x:v>4</x:v>
      </x:c>
    </x:row>
    <x:row r="33" ht="23" customHeight="1">
      <x:c r="A33" s="2"/>
      <x:c r="B33" s="2"/>
      <x:c r="C33" s="4" t="str">
        <x:v>UAE custom revenue (INR)</x:v>
      </x:c>
      <x:c r="D33" s="2"/>
      <x:c r="E33" s="69" t="n">
        <x:f>E32*'Assumptions'!E100*E22</x:f>
        <x:v>61253.91422736556</x:v>
      </x:c>
      <x:c r="F33" s="69" t="n">
        <x:f>F32*'Assumptions'!E100*F22</x:f>
        <x:v>61253.91422736556</x:v>
      </x:c>
      <x:c r="G33" s="69" t="n">
        <x:f>G32*'Assumptions'!E100*G22</x:f>
        <x:v>61253.91422736556</x:v>
      </x:c>
      <x:c r="H33" s="69" t="n">
        <x:f>H32*'Assumptions'!E100*H22</x:f>
        <x:v>61253.91422736556</x:v>
      </x:c>
      <x:c r="I33" s="69" t="n">
        <x:f>I32*'Assumptions'!E100*I22</x:f>
        <x:v>61253.91422736556</x:v>
      </x:c>
      <x:c r="J33" s="69" t="n">
        <x:f>J32*'Assumptions'!E100*J22</x:f>
        <x:v>61253.91422736556</x:v>
      </x:c>
      <x:c r="K33" s="69" t="n">
        <x:f>K32*'Assumptions'!E100*K22</x:f>
        <x:v>61253.91422736556</x:v>
      </x:c>
      <x:c r="L33" s="69" t="n">
        <x:f>L32*'Assumptions'!E100*L22</x:f>
        <x:v>61253.91422736556</x:v>
      </x:c>
      <x:c r="M33" s="69" t="n">
        <x:f>M32*'Assumptions'!E100*M22</x:f>
        <x:v>61253.91422736556</x:v>
      </x:c>
      <x:c r="N33" s="69" t="n">
        <x:f>N32*'Assumptions'!E100*N22</x:f>
        <x:v>61253.91422736556</x:v>
      </x:c>
      <x:c r="O33" s="69" t="n">
        <x:f>O32*'Assumptions'!E100*O22</x:f>
        <x:v>61253.91422736556</x:v>
      </x:c>
      <x:c r="P33" s="69" t="n">
        <x:f>P32*'Assumptions'!E100*P22</x:f>
        <x:v>61253.91422736556</x:v>
      </x:c>
      <x:c r="Q33" s="69" t="n">
        <x:f>Q32*'Assumptions'!F100*Q22</x:f>
        <x:v>122507.82845473112</x:v>
      </x:c>
      <x:c r="R33" s="86" t="n">
        <x:f>R32*'Assumptions'!F100*R22</x:f>
        <x:v>122507.82845473112</x:v>
      </x:c>
      <x:c r="S33" s="86" t="n">
        <x:f>S32*'Assumptions'!F100*S22</x:f>
        <x:v>122507.82845473112</x:v>
      </x:c>
      <x:c r="T33" s="86" t="n">
        <x:f>T32*'Assumptions'!F100*T22</x:f>
        <x:v>122507.82845473112</x:v>
      </x:c>
      <x:c r="U33" s="86" t="n">
        <x:f>U32*'Assumptions'!F100*U22</x:f>
        <x:v>122507.82845473112</x:v>
      </x:c>
      <x:c r="V33" s="86" t="n">
        <x:f>V32*'Assumptions'!F100*V22</x:f>
        <x:v>122507.82845473112</x:v>
      </x:c>
      <x:c r="W33" s="86" t="n">
        <x:f>W32*'Assumptions'!F100*W22</x:f>
        <x:v>122507.82845473112</x:v>
      </x:c>
      <x:c r="X33" s="86" t="n">
        <x:f>X32*'Assumptions'!F100*X22</x:f>
        <x:v>122507.82845473112</x:v>
      </x:c>
      <x:c r="Y33" s="86" t="n">
        <x:f>Y32*'Assumptions'!F100*Y22</x:f>
        <x:v>122507.82845473112</x:v>
      </x:c>
      <x:c r="Z33" s="86" t="n">
        <x:f>Z32*'Assumptions'!F100*Z22</x:f>
        <x:v>122507.82845473112</x:v>
      </x:c>
      <x:c r="AA33" s="86" t="n">
        <x:f>AA32*'Assumptions'!F100*AA22</x:f>
        <x:v>122507.82845473112</x:v>
      </x:c>
      <x:c r="AB33" s="86" t="n">
        <x:f>AB32*'Assumptions'!F100*AB22</x:f>
        <x:v>122507.82845473112</x:v>
      </x:c>
      <x:c r="AC33" s="86" t="n">
        <x:f>AC32*'Assumptions'!G100*AC22</x:f>
        <x:v>245015.65690946224</x:v>
      </x:c>
      <x:c r="AD33" s="86" t="n">
        <x:f>AD32*'Assumptions'!G100*AD22</x:f>
        <x:v>245015.65690946224</x:v>
      </x:c>
      <x:c r="AE33" s="86" t="n">
        <x:f>AE32*'Assumptions'!G100*AE22</x:f>
        <x:v>245015.65690946224</x:v>
      </x:c>
      <x:c r="AF33" s="86" t="n">
        <x:f>AF32*'Assumptions'!G100*AF22</x:f>
        <x:v>245015.65690946224</x:v>
      </x:c>
      <x:c r="AG33" s="86" t="n">
        <x:f>AG32*'Assumptions'!G100*AG22</x:f>
        <x:v>245015.65690946224</x:v>
      </x:c>
      <x:c r="AH33" s="86" t="n">
        <x:f>AH32*'Assumptions'!G100*AH22</x:f>
        <x:v>245015.65690946224</x:v>
      </x:c>
      <x:c r="AI33" s="86" t="n">
        <x:f>AI32*'Assumptions'!G100*AI22</x:f>
        <x:v>245015.65690946224</x:v>
      </x:c>
      <x:c r="AJ33" s="86" t="n">
        <x:f>AJ32*'Assumptions'!G100*AJ22</x:f>
        <x:v>245015.65690946224</x:v>
      </x:c>
      <x:c r="AK33" s="86" t="n">
        <x:f>AK32*'Assumptions'!G100*AK22</x:f>
        <x:v>245015.65690946224</x:v>
      </x:c>
      <x:c r="AL33" s="86" t="n">
        <x:f>AL32*'Assumptions'!G100*AL22</x:f>
        <x:v>245015.65690946224</x:v>
      </x:c>
      <x:c r="AM33" s="86" t="n">
        <x:f>AM32*'Assumptions'!G100*AM22</x:f>
        <x:v>245015.65690946224</x:v>
      </x:c>
      <x:c r="AN33" s="86" t="n">
        <x:f>AN32*'Assumptions'!G100*AN22</x:f>
        <x:v>245015.65690946224</x:v>
      </x:c>
      <x:c r="AO33" s="86" t="n">
        <x:f>AO32*'Assumptions'!H100*AO22</x:f>
        <x:v>367523.48536419333</x:v>
      </x:c>
      <x:c r="AP33" s="86" t="n">
        <x:f>AP32*'Assumptions'!H100*AP22</x:f>
        <x:v>367523.48536419333</x:v>
      </x:c>
      <x:c r="AQ33" s="86" t="n">
        <x:f>AQ32*'Assumptions'!H100*AQ22</x:f>
        <x:v>367523.48536419333</x:v>
      </x:c>
      <x:c r="AR33" s="86" t="n">
        <x:f>AR32*'Assumptions'!H100*AR22</x:f>
        <x:v>367523.48536419333</x:v>
      </x:c>
      <x:c r="AS33" s="86" t="n">
        <x:f>AS32*'Assumptions'!H100*AS22</x:f>
        <x:v>367523.48536419333</x:v>
      </x:c>
      <x:c r="AT33" s="86" t="n">
        <x:f>AT32*'Assumptions'!H100*AT22</x:f>
        <x:v>367523.48536419333</x:v>
      </x:c>
      <x:c r="AU33" s="86" t="n">
        <x:f>AU32*'Assumptions'!H100*AU22</x:f>
        <x:v>367523.48536419333</x:v>
      </x:c>
      <x:c r="AV33" s="86" t="n">
        <x:f>AV32*'Assumptions'!H100*AV22</x:f>
        <x:v>367523.48536419333</x:v>
      </x:c>
      <x:c r="AW33" s="86" t="n">
        <x:f>AW32*'Assumptions'!H100*AW22</x:f>
        <x:v>367523.48536419333</x:v>
      </x:c>
      <x:c r="AX33" s="86" t="n">
        <x:f>AX32*'Assumptions'!H100*AX22</x:f>
        <x:v>367523.48536419333</x:v>
      </x:c>
      <x:c r="AY33" s="86" t="n">
        <x:f>AY32*'Assumptions'!H100*AY22</x:f>
        <x:v>367523.48536419333</x:v>
      </x:c>
      <x:c r="AZ33" s="86" t="n">
        <x:f>AZ32*'Assumptions'!H100*AZ22</x:f>
        <x:v>367523.48536419333</x:v>
      </x:c>
      <x:c r="BA33" s="86" t="n">
        <x:f>BA32*'Assumptions'!I100*BA22</x:f>
        <x:v>490031.3138189245</x:v>
      </x:c>
      <x:c r="BB33" s="86" t="n">
        <x:f>BB32*'Assumptions'!I100*BB22</x:f>
        <x:v>490031.3138189245</x:v>
      </x:c>
      <x:c r="BC33" s="86" t="n">
        <x:f>BC32*'Assumptions'!I100*BC22</x:f>
        <x:v>490031.3138189245</x:v>
      </x:c>
      <x:c r="BD33" s="86" t="n">
        <x:f>BD32*'Assumptions'!I100*BD22</x:f>
        <x:v>490031.3138189245</x:v>
      </x:c>
      <x:c r="BE33" s="86" t="n">
        <x:f>BE32*'Assumptions'!I100*BE22</x:f>
        <x:v>490031.3138189245</x:v>
      </x:c>
      <x:c r="BF33" s="86" t="n">
        <x:f>BF32*'Assumptions'!I100*BF22</x:f>
        <x:v>490031.3138189245</x:v>
      </x:c>
      <x:c r="BG33" s="86" t="n">
        <x:f>BG32*'Assumptions'!I100*BG22</x:f>
        <x:v>490031.3138189245</x:v>
      </x:c>
      <x:c r="BH33" s="86" t="n">
        <x:f>BH32*'Assumptions'!I100*BH22</x:f>
        <x:v>490031.3138189245</x:v>
      </x:c>
      <x:c r="BI33" s="86" t="n">
        <x:f>BI32*'Assumptions'!I100*BI22</x:f>
        <x:v>490031.3138189245</x:v>
      </x:c>
      <x:c r="BJ33" s="86" t="n">
        <x:f>BJ32*'Assumptions'!I100*BJ22</x:f>
        <x:v>490031.3138189245</x:v>
      </x:c>
      <x:c r="BK33" s="86" t="n">
        <x:f>BK32*'Assumptions'!I100*BK22</x:f>
        <x:v>490031.3138189245</x:v>
      </x:c>
      <x:c r="BL33" s="86" t="n">
        <x:f>BL32*'Assumptions'!I100*BL22</x:f>
        <x:v>490031.3138189245</x:v>
      </x:c>
    </x:row>
    <x:row r="34" ht="23" customHeight="1">
      <x:c r="A34" s="2"/>
      <x:c r="B34" s="2"/>
      <x:c r="C34" s="106" t="str">
        <x:v>Total custom services revenue</x:v>
      </x:c>
      <x:c r="D34" s="107"/>
      <x:c r="E34" s="112" t="n">
        <x:f>SUM(E31,E33)</x:f>
        <x:v>111252.91422736556</x:v>
      </x:c>
      <x:c r="F34" s="112" t="n">
        <x:f>SUM(F31,F33)</x:f>
        <x:v>111252.91422736556</x:v>
      </x:c>
      <x:c r="G34" s="112" t="n">
        <x:f>SUM(G31,G33)</x:f>
        <x:v>111252.91422736556</x:v>
      </x:c>
      <x:c r="H34" s="112" t="n">
        <x:f>SUM(H31,H33)</x:f>
        <x:v>111252.91422736556</x:v>
      </x:c>
      <x:c r="I34" s="112" t="n">
        <x:f>SUM(I31,I33)</x:f>
        <x:v>111252.91422736556</x:v>
      </x:c>
      <x:c r="J34" s="112" t="n">
        <x:f>SUM(J31,J33)</x:f>
        <x:v>111252.91422736556</x:v>
      </x:c>
      <x:c r="K34" s="112" t="n">
        <x:f>SUM(K31,K33)</x:f>
        <x:v>111252.91422736556</x:v>
      </x:c>
      <x:c r="L34" s="112" t="n">
        <x:f>SUM(L31,L33)</x:f>
        <x:v>111252.91422736556</x:v>
      </x:c>
      <x:c r="M34" s="112" t="n">
        <x:f>SUM(M31,M33)</x:f>
        <x:v>111252.91422736556</x:v>
      </x:c>
      <x:c r="N34" s="112" t="n">
        <x:f>SUM(N31,N33)</x:f>
        <x:v>111252.91422736556</x:v>
      </x:c>
      <x:c r="O34" s="112" t="n">
        <x:f>SUM(O31,O33)</x:f>
        <x:v>111252.91422736556</x:v>
      </x:c>
      <x:c r="P34" s="112" t="n">
        <x:f>SUM(P31,P33)</x:f>
        <x:v>111252.91422736556</x:v>
      </x:c>
      <x:c r="Q34" s="112" t="n">
        <x:f>SUM(Q31,Q33)</x:f>
        <x:v>272504.82845473115</x:v>
      </x:c>
      <x:c r="R34" s="113" t="n">
        <x:f>SUM(R31,R33)</x:f>
        <x:v>272504.82845473115</x:v>
      </x:c>
      <x:c r="S34" s="113" t="n">
        <x:f>SUM(S31,S33)</x:f>
        <x:v>272504.82845473115</x:v>
      </x:c>
      <x:c r="T34" s="113" t="n">
        <x:f>SUM(T31,T33)</x:f>
        <x:v>272504.82845473115</x:v>
      </x:c>
      <x:c r="U34" s="113" t="n">
        <x:f>SUM(U31,U33)</x:f>
        <x:v>272504.82845473115</x:v>
      </x:c>
      <x:c r="V34" s="113" t="n">
        <x:f>SUM(V31,V33)</x:f>
        <x:v>272504.82845473115</x:v>
      </x:c>
      <x:c r="W34" s="113" t="n">
        <x:f>SUM(W31,W33)</x:f>
        <x:v>272504.82845473115</x:v>
      </x:c>
      <x:c r="X34" s="113" t="n">
        <x:f>SUM(X31,X33)</x:f>
        <x:v>272504.82845473115</x:v>
      </x:c>
      <x:c r="Y34" s="113" t="n">
        <x:f>SUM(Y31,Y33)</x:f>
        <x:v>272504.82845473115</x:v>
      </x:c>
      <x:c r="Z34" s="113" t="n">
        <x:f>SUM(Z31,Z33)</x:f>
        <x:v>272504.82845473115</x:v>
      </x:c>
      <x:c r="AA34" s="113" t="n">
        <x:f>SUM(AA31,AA33)</x:f>
        <x:v>272504.82845473115</x:v>
      </x:c>
      <x:c r="AB34" s="113" t="n">
        <x:f>SUM(AB31,AB33)</x:f>
        <x:v>272504.82845473115</x:v>
      </x:c>
      <x:c r="AC34" s="113" t="n">
        <x:f>SUM(AC31,AC33)</x:f>
        <x:v>495010.65690946224</x:v>
      </x:c>
      <x:c r="AD34" s="113" t="n">
        <x:f>SUM(AD31,AD33)</x:f>
        <x:v>495010.65690946224</x:v>
      </x:c>
      <x:c r="AE34" s="113" t="n">
        <x:f>SUM(AE31,AE33)</x:f>
        <x:v>495010.65690946224</x:v>
      </x:c>
      <x:c r="AF34" s="113" t="n">
        <x:f>SUM(AF31,AF33)</x:f>
        <x:v>495010.65690946224</x:v>
      </x:c>
      <x:c r="AG34" s="113" t="n">
        <x:f>SUM(AG31,AG33)</x:f>
        <x:v>495010.65690946224</x:v>
      </x:c>
      <x:c r="AH34" s="113" t="n">
        <x:f>SUM(AH31,AH33)</x:f>
        <x:v>495010.65690946224</x:v>
      </x:c>
      <x:c r="AI34" s="113" t="n">
        <x:f>SUM(AI31,AI33)</x:f>
        <x:v>495010.65690946224</x:v>
      </x:c>
      <x:c r="AJ34" s="113" t="n">
        <x:f>SUM(AJ31,AJ33)</x:f>
        <x:v>495010.65690946224</x:v>
      </x:c>
      <x:c r="AK34" s="113" t="n">
        <x:f>SUM(AK31,AK33)</x:f>
        <x:v>495010.65690946224</x:v>
      </x:c>
      <x:c r="AL34" s="113" t="n">
        <x:f>SUM(AL31,AL33)</x:f>
        <x:v>495010.65690946224</x:v>
      </x:c>
      <x:c r="AM34" s="113" t="n">
        <x:f>SUM(AM31,AM33)</x:f>
        <x:v>495010.65690946224</x:v>
      </x:c>
      <x:c r="AN34" s="113" t="n">
        <x:f>SUM(AN31,AN33)</x:f>
        <x:v>495010.65690946224</x:v>
      </x:c>
      <x:c r="AO34" s="113" t="n">
        <x:f>SUM(AO31,AO33)</x:f>
        <x:v>667517.4853641933</x:v>
      </x:c>
      <x:c r="AP34" s="113" t="n">
        <x:f>SUM(AP31,AP33)</x:f>
        <x:v>667517.4853641933</x:v>
      </x:c>
      <x:c r="AQ34" s="113" t="n">
        <x:f>SUM(AQ31,AQ33)</x:f>
        <x:v>667517.4853641933</x:v>
      </x:c>
      <x:c r="AR34" s="113" t="n">
        <x:f>SUM(AR31,AR33)</x:f>
        <x:v>667517.4853641933</x:v>
      </x:c>
      <x:c r="AS34" s="113" t="n">
        <x:f>SUM(AS31,AS33)</x:f>
        <x:v>667517.4853641933</x:v>
      </x:c>
      <x:c r="AT34" s="113" t="n">
        <x:f>SUM(AT31,AT33)</x:f>
        <x:v>667517.4853641933</x:v>
      </x:c>
      <x:c r="AU34" s="113" t="n">
        <x:f>SUM(AU31,AU33)</x:f>
        <x:v>667517.4853641933</x:v>
      </x:c>
      <x:c r="AV34" s="113" t="n">
        <x:f>SUM(AV31,AV33)</x:f>
        <x:v>667517.4853641933</x:v>
      </x:c>
      <x:c r="AW34" s="113" t="n">
        <x:f>SUM(AW31,AW33)</x:f>
        <x:v>667517.4853641933</x:v>
      </x:c>
      <x:c r="AX34" s="113" t="n">
        <x:f>SUM(AX31,AX33)</x:f>
        <x:v>667517.4853641933</x:v>
      </x:c>
      <x:c r="AY34" s="113" t="n">
        <x:f>SUM(AY31,AY33)</x:f>
        <x:v>667517.4853641933</x:v>
      </x:c>
      <x:c r="AZ34" s="113" t="n">
        <x:f>SUM(AZ31,AZ33)</x:f>
        <x:v>667517.4853641933</x:v>
      </x:c>
      <x:c r="BA34" s="113" t="n">
        <x:f>SUM(BA31,BA33)</x:f>
        <x:v>890023.3138189245</x:v>
      </x:c>
      <x:c r="BB34" s="113" t="n">
        <x:f>SUM(BB31,BB33)</x:f>
        <x:v>890023.3138189245</x:v>
      </x:c>
      <x:c r="BC34" s="113" t="n">
        <x:f>SUM(BC31,BC33)</x:f>
        <x:v>890023.3138189245</x:v>
      </x:c>
      <x:c r="BD34" s="113" t="n">
        <x:f>SUM(BD31,BD33)</x:f>
        <x:v>890023.3138189245</x:v>
      </x:c>
      <x:c r="BE34" s="113" t="n">
        <x:f>SUM(BE31,BE33)</x:f>
        <x:v>890023.3138189245</x:v>
      </x:c>
      <x:c r="BF34" s="113" t="n">
        <x:f>SUM(BF31,BF33)</x:f>
        <x:v>890023.3138189245</x:v>
      </x:c>
      <x:c r="BG34" s="113" t="n">
        <x:f>SUM(BG31,BG33)</x:f>
        <x:v>890023.3138189245</x:v>
      </x:c>
      <x:c r="BH34" s="113" t="n">
        <x:f>SUM(BH31,BH33)</x:f>
        <x:v>890023.3138189245</x:v>
      </x:c>
      <x:c r="BI34" s="113" t="n">
        <x:f>SUM(BI31,BI33)</x:f>
        <x:v>890023.3138189245</x:v>
      </x:c>
      <x:c r="BJ34" s="113" t="n">
        <x:f>SUM(BJ31,BJ33)</x:f>
        <x:v>890023.3138189245</x:v>
      </x:c>
      <x:c r="BK34" s="113" t="n">
        <x:f>SUM(BK31,BK33)</x:f>
        <x:v>890023.3138189245</x:v>
      </x:c>
      <x:c r="BL34" s="113" t="n">
        <x:f>SUM(BL31,BL33)</x:f>
        <x:v>890023.3138189245</x:v>
      </x:c>
    </x:row>
    <x:row r="35" ht="23" customHeight="1">
      <x:c r="A35" s="2"/>
      <x:c r="B35" s="2"/>
      <x:c r="C35" s="106" t="str">
        <x:v>Total recognized revenue</x:v>
      </x:c>
      <x:c r="D35" s="107"/>
      <x:c r="E35" s="112" t="n">
        <x:f>SUM(E25,E34)</x:f>
        <x:v>123202.8528704334</x:v>
      </x:c>
      <x:c r="F35" s="112" t="n">
        <x:f>SUM(F25,F34)</x:f>
        <x:v>147012.1244527343</x:v>
      </x:c>
      <x:c r="G35" s="112" t="n">
        <x:f>SUM(G25,G34)</x:f>
        <x:v>170640.87451635906</x:v>
      </x:c>
      <x:c r="H35" s="112" t="n">
        <x:f>SUM(H25,H34)</x:f>
        <x:v>194090.4775648793</x:v>
      </x:c>
      <x:c r="I35" s="112" t="n">
        <x:f>SUM(I25,I34)</x:f>
        <x:v>217362.29759351793</x:v>
      </x:c>
      <x:c r="J35" s="112" t="n">
        <x:f>SUM(J25,J34)</x:f>
        <x:v>240457.68816980248</x:v>
      </x:c>
      <x:c r="K35" s="112" t="n">
        <x:f>SUM(K25,K34)</x:f>
        <x:v>263377.9925135967</x:v>
      </x:c>
      <x:c r="L35" s="112" t="n">
        <x:f>SUM(L25,L34)</x:f>
        <x:v>286124.5435765157</x:v>
      </x:c>
      <x:c r="M35" s="112" t="n">
        <x:f>SUM(M25,M34)</x:f>
        <x:v>308698.6641207292</x:v>
      </x:c>
      <x:c r="N35" s="112" t="n">
        <x:f>SUM(N25,N34)</x:f>
        <x:v>331101.6667971585</x:v>
      </x:c>
      <x:c r="O35" s="112" t="n">
        <x:f>SUM(O25,O34)</x:f>
        <x:v>353334.8542230696</x:v>
      </x:c>
      <x:c r="P35" s="112" t="n">
        <x:f>SUM(P25,P34)</x:f>
        <x:v>375399.5190590707</x:v>
      </x:c>
      <x:c r="Q35" s="112" t="n">
        <x:f>SUM(Q25,Q34)</x:f>
        <x:v>641090.1857642125</x:v>
      </x:c>
      <x:c r="R35" s="113" t="n">
        <x:f>SUM(R25,R34)</x:f>
        <x:v>801331.2111112148</x:v>
      </x:c>
      <x:c r="S35" s="113" t="n">
        <x:f>SUM(S25,S34)</x:f>
        <x:v>960351.3336475603</x:v>
      </x:c>
      <x:c r="T35" s="113" t="n">
        <x:f>SUM(T25,T34)</x:f>
        <x:v>1118159.8934179894</x:v>
      </x:c>
      <x:c r="U35" s="113" t="n">
        <x:f>SUM(U25,U34)</x:f>
        <x:v>1274766.1587371286</x:v>
      </x:c>
      <x:c r="V35" s="113" t="n">
        <x:f>SUM(V25,V34)</x:f>
        <x:v>1430179.3267424004</x:v>
      </x:c>
      <x:c r="W35" s="113" t="n">
        <x:f>SUM(W25,W34)</x:f>
        <x:v>1584408.523942655</x:v>
      </x:c>
      <x:c r="X35" s="113" t="n">
        <x:f>SUM(X25,X34)</x:f>
        <x:v>1737462.8067625589</x:v>
      </x:c>
      <x:c r="Y35" s="113" t="n">
        <x:f>SUM(Y25,Y34)</x:f>
        <x:v>1889351.162082775</x:v>
      </x:c>
      <x:c r="Z35" s="113" t="n">
        <x:f>SUM(Z25,Z34)</x:f>
        <x:v>2040082.50777596</x:v>
      </x:c>
      <x:c r="AA35" s="113" t="n">
        <x:f>SUM(AA25,AA34)</x:f>
        <x:v>2189665.693238621</x:v>
      </x:c>
      <x:c r="AB35" s="113" t="n">
        <x:f>SUM(AB25,AB34)</x:f>
        <x:v>2338109.499918858</x:v>
      </x:c>
      <x:c r="AC35" s="113" t="n">
        <x:f>SUM(AC25,AC34)</x:f>
        <x:v>2979363.3338195547</x:v>
      </x:c>
      <x:c r="AD35" s="113" t="n">
        <x:f>SUM(AD25,AD34)</x:f>
        <x:v>3540436.856131808</x:v>
      </x:c>
      <x:c r="AE35" s="113" t="n">
        <x:f>SUM(AE25,AE34)</x:f>
        <x:v>4097255.8303196467</x:v>
      </x:c>
      <x:c r="AF35" s="113" t="n">
        <x:f>SUM(AF25,AF34)</x:f>
        <x:v>4649852.654487689</x:v>
      </x:c>
      <x:c r="AG35" s="113" t="n">
        <x:f>SUM(AG25,AG34)</x:f>
        <x:v>5198259.479023676</x:v>
      </x:c>
      <x:c r="AH35" s="113" t="n">
        <x:f>SUM(AH25,AH34)</x:f>
        <x:v>5742508.208499936</x:v>
      </x:c>
      <x:c r="AI35" s="113" t="n">
        <x:f>SUM(AI25,AI34)</x:f>
        <x:v>6282630.503560191</x:v>
      </x:c>
      <x:c r="AJ35" s="113" t="n">
        <x:f>SUM(AJ25,AJ34)</x:f>
        <x:v>6818657.782791831</x:v>
      </x:c>
      <x:c r="AK35" s="113" t="n">
        <x:f>SUM(AK25,AK34)</x:f>
        <x:v>7350621.22458376</x:v>
      </x:c>
      <x:c r="AL35" s="113" t="n">
        <x:f>SUM(AL25,AL34)</x:f>
        <x:v>7878551.768969938</x:v>
      </x:c>
      <x:c r="AM35" s="113" t="n">
        <x:f>SUM(AM25,AM34)</x:f>
        <x:v>8402480.119458713</x:v>
      </x:c>
      <x:c r="AN35" s="113" t="n">
        <x:f>SUM(AN25,AN34)</x:f>
        <x:v>8922436.744848054</x:v>
      </x:c>
      <x:c r="AO35" s="113" t="n">
        <x:f>SUM(AO25,AO34)</x:f>
        <x:v>10254494.375663633</x:v>
      </x:c>
      <x:c r="AP35" s="113" t="n">
        <x:f>SUM(AP25,AP34)</x:f>
        <x:v>11549114.142802188</x:v>
      </x:c>
      <x:c r="AQ35" s="113" t="n">
        <x:f>SUM(AQ25,AQ34)</x:f>
        <x:v>12833847.317196837</x:v>
      </x:c>
      <x:c r="AR35" s="113" t="n">
        <x:f>SUM(AR25,AR34)</x:f>
        <x:v>14108769.699031772</x:v>
      </x:c>
      <x:c r="AS35" s="113" t="n">
        <x:f>SUM(AS25,AS34)</x:f>
        <x:v>15373956.505137632</x:v>
      </x:c>
      <x:c r="AT35" s="113" t="n">
        <x:f>SUM(AT25,AT34)</x:f>
        <x:v>16629482.373496963</x:v>
      </x:c>
      <x:c r="AU35" s="113" t="n">
        <x:f>SUM(AU25,AU34)</x:f>
        <x:v>17875421.367714826</x:v>
      </x:c>
      <x:c r="AV35" s="113" t="n">
        <x:f>SUM(AV25,AV34)</x:f>
        <x:v>19111846.981454708</x:v>
      </x:c>
      <x:c r="AW35" s="113" t="n">
        <x:f>SUM(AW25,AW34)</x:f>
        <x:v>20338832.142840106</x:v>
      </x:c>
      <x:c r="AX35" s="113" t="n">
        <x:f>SUM(AX25,AX34)</x:f>
        <x:v>21556449.21882197</x:v>
      </x:c>
      <x:c r="AY35" s="113" t="n">
        <x:f>SUM(AY25,AY34)</x:f>
        <x:v>22764770.019512314</x:v>
      </x:c>
      <x:c r="AZ35" s="113" t="n">
        <x:f>SUM(AZ25,AZ34)</x:f>
        <x:v>23963865.802484255</x:v>
      </x:c>
      <x:c r="BA35" s="113" t="n">
        <x:f>SUM(BA25,BA34)</x:f>
        <x:v>26731946.214476936</x:v>
      </x:c>
      <x:c r="BB35" s="113" t="n">
        <x:f>SUM(BB25,BB34)</x:f>
        <x:v>29288532.866644457</x:v>
      </x:c>
      <x:c r="BC35" s="113" t="n">
        <x:f>SUM(BC25,BC34)</x:f>
        <x:v>31825568.423824903</x:v>
      </x:c>
      <x:c r="BD35" s="113" t="n">
        <x:f>SUM(BD25,BD34)</x:f>
        <x:v>34343202.983590566</x:v>
      </x:c>
      <x:c r="BE35" s="113" t="n">
        <x:f>SUM(BE25,BE34)</x:f>
        <x:v>36841585.48691145</x:v>
      </x:c>
      <x:c r="BF35" s="113" t="n">
        <x:f>SUM(BF25,BF34)</x:f>
        <x:v>39320863.7270989</x:v>
      </x:c>
      <x:c r="BG35" s="113" t="n">
        <x:f>SUM(BG25,BG34)</x:f>
        <x:v>41781184.35867972</x:v>
      </x:c>
      <x:c r="BH35" s="113" t="n">
        <x:f>SUM(BH25,BH34)</x:f>
        <x:v>44222692.90620156</x:v>
      </x:c>
      <x:c r="BI35" s="113" t="n">
        <x:f>SUM(BI25,BI34)</x:f>
        <x:v>46645533.772969924</x:v>
      </x:c>
      <x:c r="BJ35" s="113" t="n">
        <x:f>SUM(BJ25,BJ34)</x:f>
        <x:v>49049850.249717474</x:v>
      </x:c>
      <x:c r="BK35" s="113" t="n">
        <x:f>SUM(BK25,BK34)</x:f>
        <x:v>51435784.52320598</x:v>
      </x:c>
      <x:c r="BL35" s="113" t="n">
        <x:f>SUM(BL25,BL34)</x:f>
        <x:v>53803477.68476162</x:v>
      </x:c>
    </x:row>
    <x:row r="36" ht="23" customHeight="1">
      <x:c r="A36" s="2"/>
      <x:c r="B36" s="2"/>
      <x:c r="C36" s="20" t="str">
        <x:v>Cost of delivery</x:v>
      </x:c>
      <x:c r="D36" s="21"/>
      <x:c r="E36" s="21"/>
      <x:c r="F36" s="21"/>
      <x:c r="G36" s="21"/>
      <x:c r="H36" s="21"/>
      <x:c r="I36" s="21"/>
      <x:c r="J36" s="21"/>
      <x:c r="K36" s="21"/>
      <x:c r="L36" s="21"/>
      <x:c r="M36" s="21"/>
      <x:c r="N36" s="21"/>
      <x:c r="O36" s="21"/>
      <x:c r="P36" s="21"/>
      <x:c r="Q36" s="21"/>
      <x:c r="R36" s="62"/>
      <x:c r="S36" s="62"/>
      <x:c r="T36" s="62"/>
      <x:c r="U36" s="62"/>
      <x:c r="V36" s="62"/>
      <x:c r="W36" s="62"/>
      <x:c r="X36" s="62"/>
      <x:c r="Y36" s="62"/>
      <x:c r="Z36" s="62"/>
      <x:c r="AA36" s="62"/>
      <x:c r="AB36" s="62"/>
      <x:c r="AC36" s="62"/>
      <x:c r="AD36" s="62"/>
      <x:c r="AE36" s="62"/>
      <x:c r="AF36" s="62"/>
      <x:c r="AG36" s="62"/>
      <x:c r="AH36" s="62"/>
      <x:c r="AI36" s="62"/>
      <x:c r="AJ36" s="62"/>
      <x:c r="AK36" s="62"/>
      <x:c r="AL36" s="62"/>
      <x:c r="AM36" s="62"/>
      <x:c r="AN36" s="62"/>
      <x:c r="AO36" s="62"/>
      <x:c r="AP36" s="62"/>
      <x:c r="AQ36" s="62"/>
      <x:c r="AR36" s="62"/>
      <x:c r="AS36" s="62"/>
      <x:c r="AT36" s="62"/>
      <x:c r="AU36" s="62"/>
      <x:c r="AV36" s="62"/>
      <x:c r="AW36" s="62"/>
      <x:c r="AX36" s="62"/>
      <x:c r="AY36" s="62"/>
      <x:c r="AZ36" s="62"/>
      <x:c r="BA36" s="62"/>
      <x:c r="BB36" s="62"/>
      <x:c r="BC36" s="62"/>
      <x:c r="BD36" s="62"/>
      <x:c r="BE36" s="62"/>
      <x:c r="BF36" s="62"/>
      <x:c r="BG36" s="62"/>
      <x:c r="BH36" s="62"/>
      <x:c r="BI36" s="62"/>
      <x:c r="BJ36" s="62"/>
      <x:c r="BK36" s="62"/>
      <x:c r="BL36" s="62"/>
    </x:row>
    <x:row r="37" ht="23" customHeight="1">
      <x:c r="A37" s="2"/>
      <x:c r="B37" s="2"/>
      <x:c r="C37" s="4" t="str">
        <x:v>Variable technology COGS</x:v>
      </x:c>
      <x:c r="D37" s="2"/>
      <x:c r="E37" s="69" t="n">
        <x:f>E12*'Assumptions'!$D$20+E20*'Assumptions'!$D$21</x:f>
        <x:v>740</x:v>
      </x:c>
      <x:c r="F37" s="69" t="n">
        <x:f>F12*'Assumptions'!$D$20+F20*'Assumptions'!$D$21</x:f>
        <x:v>2214.38</x:v>
      </x:c>
      <x:c r="G37" s="69" t="n">
        <x:f>G12*'Assumptions'!$D$20+G20*'Assumptions'!$D$21</x:f>
        <x:v>3677.56286</x:v>
      </x:c>
      <x:c r="H37" s="69" t="n">
        <x:f>H12*'Assumptions'!$D$20+H20*'Assumptions'!$D$21</x:f>
        <x:v>5129.63397182</x:v>
      </x:c>
      <x:c r="I37" s="69" t="n">
        <x:f>I12*'Assumptions'!$D$20+I20*'Assumptions'!$D$21</x:f>
        <x:v>6570.67807344254</x:v>
      </x:c>
      <x:c r="J37" s="69" t="n">
        <x:f>J12*'Assumptions'!$D$20+J20*'Assumptions'!$D$21</x:f>
        <x:v>8000.77925403832</x:v>
      </x:c>
      <x:c r="K37" s="69" t="n">
        <x:f>K12*'Assumptions'!$D$20+K20*'Assumptions'!$D$21</x:f>
        <x:v>9420.02095895305</x:v>
      </x:c>
      <x:c r="L37" s="69" t="n">
        <x:f>L12*'Assumptions'!$D$20+L20*'Assumptions'!$D$21</x:f>
        <x:v>10828.485994655835</x:v>
      </x:c>
      <x:c r="M37" s="69" t="n">
        <x:f>M12*'Assumptions'!$D$20+M20*'Assumptions'!$D$21</x:f>
        <x:v>12226.256533649374</x:v>
      </x:c>
      <x:c r="N37" s="69" t="n">
        <x:f>N12*'Assumptions'!$D$20+N20*'Assumptions'!$D$21</x:f>
        <x:v>13613.414119342311</x:v>
      </x:c>
      <x:c r="O37" s="69" t="n">
        <x:f>O12*'Assumptions'!$D$20+O20*'Assumptions'!$D$21</x:f>
        <x:v>14990.039670883969</x:v>
      </x:c>
      <x:c r="P37" s="69" t="n">
        <x:f>P12*'Assumptions'!$D$20+P20*'Assumptions'!$D$21</x:f>
        <x:v>16356.213487961817</x:v>
      </x:c>
      <x:c r="Q37" s="69" t="n">
        <x:f>Q12*'Assumptions'!$D$20+Q20*'Assumptions'!$D$21</x:f>
        <x:v>21797.01525556193</x:v>
      </x:c>
      <x:c r="R37" s="86" t="n">
        <x:f>R12*'Assumptions'!$D$20+R20*'Assumptions'!$D$21</x:f>
        <x:v>31281.344048692714</x:v>
      </x:c>
      <x:c r="S37" s="86" t="n">
        <x:f>S12*'Assumptions'!$D$20+S20*'Assumptions'!$D$21</x:f>
        <x:v>40693.33727707223</x:v>
      </x:c>
      <x:c r="T37" s="86" t="n">
        <x:f>T12*'Assumptions'!$D$20+T20*'Assumptions'!$D$21</x:f>
        <x:v>50033.54885175932</x:v>
      </x:c>
      <x:c r="U37" s="86" t="n">
        <x:f>U12*'Assumptions'!$D$20+U20*'Assumptions'!$D$21</x:f>
        <x:v>59302.52842593859</x:v>
      </x:c>
      <x:c r="V37" s="86" t="n">
        <x:f>V12*'Assumptions'!$D$20+V20*'Assumptions'!$D$21</x:f>
        <x:v>68500.82142776948</x:v>
      </x:c>
      <x:c r="W37" s="86" t="n">
        <x:f>W12*'Assumptions'!$D$20+W20*'Assumptions'!$D$21</x:f>
        <x:v>77628.96909298105</x:v>
      </x:c>
      <x:c r="X37" s="86" t="n">
        <x:f>X12*'Assumptions'!$D$20+X20*'Assumptions'!$D$21</x:f>
        <x:v>86687.50849721447</x:v>
      </x:c>
      <x:c r="Y37" s="86" t="n">
        <x:f>Y12*'Assumptions'!$D$20+Y20*'Assumptions'!$D$21</x:f>
        <x:v>95676.97258811521</x:v>
      </x:c>
      <x:c r="Z37" s="86" t="n">
        <x:f>Z12*'Assumptions'!$D$20+Z20*'Assumptions'!$D$21</x:f>
        <x:v>104597.89021717661</x:v>
      </x:c>
      <x:c r="AA37" s="86" t="n">
        <x:f>AA12*'Assumptions'!$D$20+AA20*'Assumptions'!$D$21</x:f>
        <x:v>113450.78617133712</x:v>
      </x:c>
      <x:c r="AB37" s="86" t="n">
        <x:f>AB12*'Assumptions'!$D$20+AB20*'Assumptions'!$D$21</x:f>
        <x:v>122236.18120433306</x:v>
      </x:c>
      <x:c r="AC37" s="86" t="n">
        <x:f>AC12*'Assumptions'!$D$20+AC20*'Assumptions'!$D$21</x:f>
        <x:v>142779.5920678085</x:v>
      </x:c>
      <x:c r="AD37" s="86" t="n">
        <x:f>AD12*'Assumptions'!$D$20+AD20*'Assumptions'!$D$21</x:f>
        <x:v>174991.88154218433</x:v>
      </x:c>
      <x:c r="AE37" s="86" t="n">
        <x:f>AE12*'Assumptions'!$D$20+AE20*'Assumptions'!$D$21</x:f>
        <x:v>206959.59101728874</x:v>
      </x:c>
      <x:c r="AF37" s="86" t="n">
        <x:f>AF12*'Assumptions'!$D$20+AF20*'Assumptions'!$D$21</x:f>
        <x:v>238684.5853049002</x:v>
      </x:c>
      <x:c r="AG37" s="86" t="n">
        <x:f>AG12*'Assumptions'!$D$20+AG20*'Assumptions'!$D$21</x:f>
        <x:v>270168.7149411005</x:v>
      </x:c>
      <x:c r="AH37" s="86" t="n">
        <x:f>AH12*'Assumptions'!$D$20+AH20*'Assumptions'!$D$21</x:f>
        <x:v>301413.81629598077</x:v>
      </x:c>
      <x:c r="AI37" s="86" t="n">
        <x:f>AI12*'Assumptions'!$D$20+AI20*'Assumptions'!$D$21</x:f>
        <x:v>332421.71168250113</x:v>
      </x:c>
      <x:c r="AJ37" s="86" t="n">
        <x:f>AJ12*'Assumptions'!$D$20+AJ20*'Assumptions'!$D$21</x:f>
        <x:v>363194.20946451114</x:v>
      </x:c>
      <x:c r="AK37" s="86" t="n">
        <x:f>AK12*'Assumptions'!$D$20+AK20*'Assumptions'!$D$21</x:f>
        <x:v>393733.10416393675</x:v>
      </x:c>
      <x:c r="AL37" s="86" t="n">
        <x:f>AL12*'Assumptions'!$D$20+AL20*'Assumptions'!$D$21</x:f>
        <x:v>424040.17656714097</x:v>
      </x:c>
      <x:c r="AM37" s="86" t="n">
        <x:f>AM12*'Assumptions'!$D$20+AM20*'Assumptions'!$D$21</x:f>
        <x:v>454117.193830464</x:v>
      </x:c>
      <x:c r="AN37" s="86" t="n">
        <x:f>AN12*'Assumptions'!$D$20+AN20*'Assumptions'!$D$21</x:f>
        <x:v>483965.90958494926</x:v>
      </x:c>
      <x:c r="AO37" s="86" t="n">
        <x:f>AO12*'Assumptions'!$D$20+AO20*'Assumptions'!$D$21</x:f>
        <x:v>535188.064040263</x:v>
      </x:c>
      <x:c r="AP37" s="86" t="n">
        <x:f>AP12*'Assumptions'!$D$20+AP20*'Assumptions'!$D$21</x:f>
        <x:v>607619.33408781</x:v>
      </x:c>
      <x:c r="AQ37" s="86" t="n">
        <x:f>AQ12*'Assumptions'!$D$20+AQ20*'Assumptions'!$D$21</x:f>
        <x:v>679496.6645530578</x:v>
      </x:c>
      <x:c r="AR37" s="86" t="n">
        <x:f>AR12*'Assumptions'!$D$20+AR20*'Assumptions'!$D$21</x:f>
        <x:v>750824.3083786177</x:v>
      </x:c>
      <x:c r="AS37" s="86" t="n">
        <x:f>AS12*'Assumptions'!$D$20+AS20*'Assumptions'!$D$21</x:f>
        <x:v>821606.4857335794</x:v>
      </x:c>
      <x:c r="AT37" s="86" t="n">
        <x:f>AT12*'Assumptions'!$D$20+AT20*'Assumptions'!$D$21</x:f>
        <x:v>891847.3842669474</x:v>
      </x:c>
      <x:c r="AU37" s="86" t="n">
        <x:f>AU12*'Assumptions'!$D$20+AU20*'Assumptions'!$D$21</x:f>
        <x:v>961551.1593591138</x:v>
      </x:c>
      <x:c r="AV37" s="86" t="n">
        <x:f>AV12*'Assumptions'!$D$20+AV20*'Assumptions'!$D$21</x:f>
        <x:v>1030721.9343713787</x:v>
      </x:c>
      <x:c r="AW37" s="86" t="n">
        <x:f>AW12*'Assumptions'!$D$20+AW20*'Assumptions'!$D$21</x:f>
        <x:v>1099363.8008935356</x:v>
      </x:c>
      <x:c r="AX37" s="86" t="n">
        <x:f>AX12*'Assumptions'!$D$20+AX20*'Assumptions'!$D$21</x:f>
        <x:v>1167480.8189895353</x:v>
      </x:c>
      <x:c r="AY37" s="86" t="n">
        <x:f>AY12*'Assumptions'!$D$20+AY20*'Assumptions'!$D$21</x:f>
        <x:v>1235077.017441245</x:v>
      </x:c>
      <x:c r="AZ37" s="86" t="n">
        <x:f>AZ12*'Assumptions'!$D$20+AZ20*'Assumptions'!$D$21</x:f>
        <x:v>1302156.3939903157</x:v>
      </x:c>
      <x:c r="BA37" s="86" t="n">
        <x:f>BA12*'Assumptions'!$D$20+BA20*'Assumptions'!$D$21</x:f>
        <x:v>1405472.9155781735</x:v>
      </x:c>
      <x:c r="BB37" s="86" t="n">
        <x:f>BB12*'Assumptions'!$D$20+BB20*'Assumptions'!$D$21</x:f>
        <x:v>1544748.51858415</x:v>
      </x:c>
      <x:c r="BC37" s="86" t="n">
        <x:f>BC12*'Assumptions'!$D$20+BC20*'Assumptions'!$D$21</x:f>
        <x:v>1682957.2810617643</x:v>
      </x:c>
      <x:c r="BD37" s="86" t="n">
        <x:f>BD12*'Assumptions'!$D$20+BD20*'Assumptions'!$D$21</x:f>
        <x:v>1820107.4061851741</x:v>
      </x:c>
      <x:c r="BE37" s="86" t="n">
        <x:f>BE12*'Assumptions'!$D$20+BE20*'Assumptions'!$D$21</x:f>
        <x:v>1956207.033823993</x:v>
      </x:c>
      <x:c r="BF37" s="86" t="n">
        <x:f>BF12*'Assumptions'!$D$20+BF20*'Assumptions'!$D$21</x:f>
        <x:v>2091264.2410334833</x:v>
      </x:c>
      <x:c r="BG37" s="86" t="n">
        <x:f>BG12*'Assumptions'!$D$20+BG20*'Assumptions'!$D$21</x:f>
        <x:v>2225287.042540937</x:v>
      </x:c>
      <x:c r="BH37" s="86" t="n">
        <x:f>BH12*'Assumptions'!$D$20+BH20*'Assumptions'!$D$21</x:f>
        <x:v>2358283.3912282814</x:v>
      </x:c>
      <x:c r="BI37" s="86" t="n">
        <x:f>BI12*'Assumptions'!$D$20+BI20*'Assumptions'!$D$21</x:f>
        <x:v>2490261.178610933</x:v>
      </x:c>
      <x:c r="BJ37" s="86" t="n">
        <x:f>BJ12*'Assumptions'!$D$20+BJ20*'Assumptions'!$D$21</x:f>
        <x:v>2621228.235312936</x:v>
      </x:c>
      <x:c r="BK37" s="86" t="n">
        <x:f>BK12*'Assumptions'!$D$20+BK20*'Assumptions'!$D$21</x:f>
        <x:v>2751192.331538407</x:v>
      </x:c>
      <x:c r="BL37" s="86" t="n">
        <x:f>BL12*'Assumptions'!$D$20+BL20*'Assumptions'!$D$21</x:f>
        <x:v>2880161.177539319</x:v>
      </x:c>
    </x:row>
    <x:row r="38" ht="23" customHeight="1">
      <x:c r="A38" s="2"/>
      <x:c r="B38" s="2"/>
      <x:c r="C38" s="4" t="str">
        <x:v>Direct support delivery COGS</x:v>
      </x:c>
      <x:c r="D38" s="2"/>
      <x:c r="E38" s="69" t="n">
        <x:f>E12*'Assumptions'!$D$22/60*'Assumptions'!$D$23+E20*'Assumptions'!$D$24/60*'Assumptions'!$D$25</x:f>
        <x:v>716.6666666666666</x:v>
      </x:c>
      <x:c r="F38" s="69" t="n">
        <x:f>F12*'Assumptions'!$D$22/60*'Assumptions'!$D$23+F20*'Assumptions'!$D$24/60*'Assumptions'!$D$25</x:f>
        <x:v>2144.516666666667</x:v>
      </x:c>
      <x:c r="G38" s="69" t="n">
        <x:f>G12*'Assumptions'!$D$22/60*'Assumptions'!$D$23+G20*'Assumptions'!$D$24/60*'Assumptions'!$D$25</x:f>
        <x:v>3561.442116666666</x:v>
      </x:c>
      <x:c r="H38" s="69" t="n">
        <x:f>H12*'Assumptions'!$D$22/60*'Assumptions'!$D$23+H20*'Assumptions'!$D$24/60*'Assumptions'!$D$25</x:f>
        <x:v>4967.526925316667</x:v>
      </x:c>
      <x:c r="I38" s="69" t="n">
        <x:f>I12*'Assumptions'!$D$22/60*'Assumptions'!$D$23+I20*'Assumptions'!$D$24/60*'Assumptions'!$D$25</x:f>
        <x:v>6362.854354411717</x:v>
      </x:c>
      <x:c r="J38" s="69" t="n">
        <x:f>J12*'Assumptions'!$D$22/60*'Assumptions'!$D$23+J20*'Assumptions'!$D$24/60*'Assumptions'!$D$25</x:f>
        <x:v>7747.507023895858</x:v>
      </x:c>
      <x:c r="K38" s="69" t="n">
        <x:f>K12*'Assumptions'!$D$22/60*'Assumptions'!$D$23+K20*'Assumptions'!$D$24/60*'Assumptions'!$D$25</x:f>
        <x:v>9121.566916827222</x:v>
      </x:c>
      <x:c r="L38" s="69" t="n">
        <x:f>L12*'Assumptions'!$D$22/60*'Assumptions'!$D$23+L20*'Assumptions'!$D$24/60*'Assumptions'!$D$25</x:f>
        <x:v>10485.115384304609</x:v>
      </x:c>
      <x:c r="M38" s="69" t="n">
        <x:f>M12*'Assumptions'!$D$22/60*'Assumptions'!$D$23+M20*'Assumptions'!$D$24/60*'Assumptions'!$D$25</x:f>
        <x:v>11838.233150355827</x:v>
      </x:c>
      <x:c r="N38" s="69" t="n">
        <x:f>N12*'Assumptions'!$D$22/60*'Assumptions'!$D$23+N20*'Assumptions'!$D$24/60*'Assumptions'!$D$25</x:f>
        <x:v>13181.000316788091</x:v>
      </x:c>
      <x:c r="O38" s="69" t="n">
        <x:f>O12*'Assumptions'!$D$22/60*'Assumptions'!$D$23+O20*'Assumptions'!$D$24/60*'Assumptions'!$D$25</x:f>
        <x:v>14513.496368000782</x:v>
      </x:c>
      <x:c r="P38" s="69" t="n">
        <x:f>P12*'Assumptions'!$D$22/60*'Assumptions'!$D$23+P20*'Assumptions'!$D$24/60*'Assumptions'!$D$25</x:f>
        <x:v>15835.80017576088</x:v>
      </x:c>
      <x:c r="Q38" s="69" t="n">
        <x:f>Q12*'Assumptions'!$D$22/60*'Assumptions'!$D$23+Q20*'Assumptions'!$D$24/60*'Assumptions'!$D$25</x:f>
        <x:v>21139.65667060796</x:v>
      </x:c>
      <x:c r="R38" s="86" t="n">
        <x:f>R12*'Assumptions'!$D$22/60*'Assumptions'!$D$23+R20*'Assumptions'!$D$24/60*'Assumptions'!$D$25</x:f>
        <x:v>30394.460179889164</x:v>
      </x:c>
      <x:c r="S38" s="86" t="n">
        <x:f>S12*'Assumptions'!$D$22/60*'Assumptions'!$D$23+S20*'Assumptions'!$D$24/60*'Assumptions'!$D$25</x:f>
        <x:v>39578.17448242426</x:v>
      </x:c>
      <x:c r="T38" s="86" t="n">
        <x:f>T12*'Assumptions'!$D$22/60*'Assumptions'!$D$23+T20*'Assumptions'!$D$24/60*'Assumptions'!$D$25</x:f>
        <x:v>48691.34764731793</x:v>
      </x:c>
      <x:c r="U38" s="86" t="n">
        <x:f>U12*'Assumptions'!$D$22/60*'Assumptions'!$D$23+U20*'Assumptions'!$D$24/60*'Assumptions'!$D$25</x:f>
        <x:v>57734.52350363384</x:v>
      </x:c>
      <x:c r="V38" s="86" t="n">
        <x:f>V12*'Assumptions'!$D$22/60*'Assumptions'!$D$23+V20*'Assumptions'!$D$24/60*'Assumptions'!$D$25</x:f>
        <x:v>66708.24167330342</x:v>
      </x:c>
      <x:c r="W38" s="86" t="n">
        <x:f>W12*'Assumptions'!$D$22/60*'Assumptions'!$D$23+W20*'Assumptions'!$D$24/60*'Assumptions'!$D$25</x:f>
        <x:v>75613.03760377843</x:v>
      </x:c>
      <x:c r="X38" s="86" t="n">
        <x:f>X12*'Assumptions'!$D$22/60*'Assumptions'!$D$23+X20*'Assumptions'!$D$24/60*'Assumptions'!$D$25</x:f>
        <x:v>84449.44260042928</x:v>
      </x:c>
      <x:c r="Y38" s="86" t="n">
        <x:f>Y12*'Assumptions'!$D$22/60*'Assumptions'!$D$23+Y20*'Assumptions'!$D$24/60*'Assumptions'!$D$25</x:f>
        <x:v>93217.98385869121</x:v>
      </x:c>
      <x:c r="Z38" s="86" t="n">
        <x:f>Z12*'Assumptions'!$D$22/60*'Assumptions'!$D$23+Z20*'Assumptions'!$D$24/60*'Assumptions'!$D$25</x:f>
        <x:v>101919.18449596027</x:v>
      </x:c>
      <x:c r="AA38" s="86" t="n">
        <x:f>AA12*'Assumptions'!$D$22/60*'Assumptions'!$D$23+AA20*'Assumptions'!$D$24/60*'Assumptions'!$D$25</x:f>
        <x:v>110553.56358324087</x:v>
      </x:c>
      <x:c r="AB38" s="86" t="n">
        <x:f>AB12*'Assumptions'!$D$22/60*'Assumptions'!$D$23+AB20*'Assumptions'!$D$24/60*'Assumptions'!$D$25</x:f>
        <x:v>119121.63617654715</x:v>
      </x:c>
      <x:c r="AC38" s="86" t="n">
        <x:f>AC12*'Assumptions'!$D$22/60*'Assumptions'!$D$23+AC20*'Assumptions'!$D$24/60*'Assumptions'!$D$25</x:f>
        <x:v>139040.5800147265</x:v>
      </x:c>
      <x:c r="AD38" s="86" t="n">
        <x:f>AD12*'Assumptions'!$D$22/60*'Assumptions'!$D$23+AD20*'Assumptions'!$D$24/60*'Assumptions'!$D$25</x:f>
        <x:v>170223.69388370728</x:v>
      </x:c>
      <x:c r="AE38" s="86" t="n">
        <x:f>AE12*'Assumptions'!$D$22/60*'Assumptions'!$D$23+AE20*'Assumptions'!$D$24/60*'Assumptions'!$D$25</x:f>
        <x:v>201168.27477217253</x:v>
      </x:c>
      <x:c r="AF38" s="86" t="n">
        <x:f>AF12*'Assumptions'!$D$22/60*'Assumptions'!$D$23+AF20*'Assumptions'!$D$24/60*'Assumptions'!$D$25</x:f>
        <x:v>231876.1544204533</x:v>
      </x:c>
      <x:c r="AG38" s="86" t="n">
        <x:f>AG12*'Assumptions'!$D$22/60*'Assumptions'!$D$23+AG20*'Assumptions'!$D$24/60*'Assumptions'!$D$25</x:f>
        <x:v>262349.1504506226</x:v>
      </x:c>
      <x:c r="AH38" s="86" t="n">
        <x:f>AH12*'Assumptions'!$D$22/60*'Assumptions'!$D$23+AH20*'Assumptions'!$D$24/60*'Assumptions'!$D$25</x:f>
        <x:v>292589.06647569186</x:v>
      </x:c>
      <x:c r="AI38" s="86" t="n">
        <x:f>AI12*'Assumptions'!$D$22/60*'Assumptions'!$D$23+AI20*'Assumptions'!$D$24/60*'Assumptions'!$D$25</x:f>
        <x:v>322597.69220795983</x:v>
      </x:c>
      <x:c r="AJ38" s="86" t="n">
        <x:f>AJ12*'Assumptions'!$D$22/60*'Assumptions'!$D$23+AJ20*'Assumptions'!$D$24/60*'Assumptions'!$D$25</x:f>
        <x:v>352376.80356652115</x:v>
      </x:c>
      <x:c r="AK38" s="86" t="n">
        <x:f>AK12*'Assumptions'!$D$22/60*'Assumptions'!$D$23+AK20*'Assumptions'!$D$24/60*'Assumptions'!$D$25</x:f>
        <x:v>381928.1627839404</x:v>
      </x:c>
      <x:c r="AL38" s="86" t="n">
        <x:f>AL12*'Assumptions'!$D$22/60*'Assumptions'!$D$23+AL20*'Assumptions'!$D$24/60*'Assumptions'!$D$25</x:f>
        <x:v>411253.5185120987</x:v>
      </x:c>
      <x:c r="AM38" s="86" t="n">
        <x:f>AM12*'Assumptions'!$D$22/60*'Assumptions'!$D$23+AM20*'Assumptions'!$D$24/60*'Assumptions'!$D$25</x:f>
        <x:v>440354.6059272187</x:v>
      </x:c>
      <x:c r="AN38" s="86" t="n">
        <x:f>AN12*'Assumptions'!$D$22/60*'Assumptions'!$D$23+AN20*'Assumptions'!$D$24/60*'Assumptions'!$D$25</x:f>
        <x:v>469233.1468340751</x:v>
      </x:c>
      <x:c r="AO38" s="86" t="n">
        <x:f>AO12*'Assumptions'!$D$22/60*'Assumptions'!$D$23+AO20*'Assumptions'!$D$24/60*'Assumptions'!$D$25</x:f>
        <x:v>519265.8497693968</x:v>
      </x:c>
      <x:c r="AP38" s="86" t="n">
        <x:f>AP12*'Assumptions'!$D$22/60*'Assumptions'!$D$23+AP20*'Assumptions'!$D$24/60*'Assumptions'!$D$25</x:f>
        <x:v>590289.0351044659</x:v>
      </x:c>
      <x:c r="AQ38" s="86" t="n">
        <x:f>AQ12*'Assumptions'!$D$22/60*'Assumptions'!$D$23+AQ20*'Assumptions'!$D$24/60*'Assumptions'!$D$25</x:f>
        <x:v>660765.2937719221</x:v>
      </x:c>
      <x:c r="AR38" s="86" t="n">
        <x:f>AR12*'Assumptions'!$D$22/60*'Assumptions'!$D$23+AR20*'Assumptions'!$D$24/60*'Assumptions'!$D$25</x:f>
        <x:v>730698.8523734004</x:v>
      </x:c>
      <x:c r="AS38" s="86" t="n">
        <x:f>AS12*'Assumptions'!$D$22/60*'Assumptions'!$D$23+AS20*'Assumptions'!$D$24/60*'Assumptions'!$D$25</x:f>
        <x:v>800093.9047394055</x:v>
      </x:c>
      <x:c r="AT38" s="86" t="n">
        <x:f>AT12*'Assumptions'!$D$22/60*'Assumptions'!$D$23+AT20*'Assumptions'!$D$24/60*'Assumptions'!$D$25</x:f>
        <x:v>868954.6121841875</x:v>
      </x:c>
      <x:c r="AU38" s="86" t="n">
        <x:f>AU12*'Assumptions'!$D$22/60*'Assumptions'!$D$23+AU20*'Assumptions'!$D$24/60*'Assumptions'!$D$25</x:f>
        <x:v>937285.1037586323</x:v>
      </x:c>
      <x:c r="AV38" s="86" t="n">
        <x:f>AV12*'Assumptions'!$D$22/60*'Assumptions'!$D$23+AV20*'Assumptions'!$D$24/60*'Assumptions'!$D$25</x:f>
        <x:v>1005089.4765011781</x:v>
      </x:c>
      <x:c r="AW38" s="86" t="n">
        <x:f>AW12*'Assumptions'!$D$22/60*'Assumptions'!$D$23+AW20*'Assumptions'!$D$24/60*'Assumptions'!$D$25</x:f>
        <x:v>1072371.7956867754</x:v>
      </x:c>
      <x:c r="AX38" s="86" t="n">
        <x:f>AX12*'Assumptions'!$D$22/60*'Assumptions'!$D$23+AX20*'Assumptions'!$D$24/60*'Assumptions'!$D$25</x:f>
        <x:v>1139136.0950739044</x:v>
      </x:c>
      <x:c r="AY38" s="86" t="n">
        <x:f>AY12*'Assumptions'!$D$22/60*'Assumptions'!$D$23+AY20*'Assumptions'!$D$24/60*'Assumptions'!$D$25</x:f>
        <x:v>1205386.377149668</x:v>
      </x:c>
      <x:c r="AZ38" s="86" t="n">
        <x:f>AZ12*'Assumptions'!$D$22/60*'Assumptions'!$D$23+AZ20*'Assumptions'!$D$24/60*'Assumptions'!$D$25</x:f>
        <x:v>1271126.6133729713</x:v>
      </x:c>
      <x:c r="BA38" s="86" t="n">
        <x:f>BA12*'Assumptions'!$D$22/60*'Assumptions'!$D$23+BA20*'Assumptions'!$D$24/60*'Assumptions'!$D$25</x:f>
        <x:v>1372610.7444158043</x:v>
      </x:c>
      <x:c r="BB38" s="86" t="n">
        <x:f>BB12*'Assumptions'!$D$22/60*'Assumptions'!$D$23+BB20*'Assumptions'!$D$24/60*'Assumptions'!$D$25</x:f>
        <x:v>1509562.680402646</x:v>
      </x:c>
      <x:c r="BC38" s="86" t="n">
        <x:f>BC12*'Assumptions'!$D$22/60*'Assumptions'!$D$23+BC20*'Assumptions'!$D$24/60*'Assumptions'!$D$25</x:f>
        <x:v>1645458.471147998</x:v>
      </x:c>
      <x:c r="BD38" s="86" t="n">
        <x:f>BD12*'Assumptions'!$D$22/60*'Assumptions'!$D$23+BD20*'Assumptions'!$D$24/60*'Assumptions'!$D$25</x:f>
        <x:v>1780306.2895220672</x:v>
      </x:c>
      <x:c r="BE38" s="86" t="n">
        <x:f>BE12*'Assumptions'!$D$22/60*'Assumptions'!$D$23+BE20*'Assumptions'!$D$24/60*'Assumptions'!$D$25</x:f>
        <x:v>1914114.2449461408</x:v>
      </x:c>
      <x:c r="BF38" s="86" t="n">
        <x:f>BF12*'Assumptions'!$D$22/60*'Assumptions'!$D$23+BF20*'Assumptions'!$D$24/60*'Assumptions'!$D$25</x:f>
        <x:v>2046890.3838866402</x:v>
      </x:c>
      <x:c r="BG38" s="86" t="n">
        <x:f>BG12*'Assumptions'!$D$22/60*'Assumptions'!$D$23+BG20*'Assumptions'!$D$24/60*'Assumptions'!$D$25</x:f>
        <x:v>2178642.690345315</x:v>
      </x:c>
      <x:c r="BH38" s="86" t="n">
        <x:f>BH12*'Assumptions'!$D$22/60*'Assumptions'!$D$23+BH20*'Assumptions'!$D$24/60*'Assumptions'!$D$25</x:f>
        <x:v>2309379.086345612</x:v>
      </x:c>
      <x:c r="BI38" s="86" t="n">
        <x:f>BI12*'Assumptions'!$D$22/60*'Assumptions'!$D$23+BI20*'Assumptions'!$D$24/60*'Assumptions'!$D$25</x:f>
        <x:v>2439107.432415246</x:v>
      </x:c>
      <x:c r="BJ38" s="86" t="n">
        <x:f>BJ12*'Assumptions'!$D$22/60*'Assumptions'!$D$23+BJ20*'Assumptions'!$D$24/60*'Assumptions'!$D$25</x:f>
        <x:v>2567835.5280649997</x:v>
      </x:c>
      <x:c r="BK38" s="86" t="n">
        <x:f>BK12*'Assumptions'!$D$22/60*'Assumptions'!$D$23+BK20*'Assumptions'!$D$24/60*'Assumptions'!$D$25</x:f>
        <x:v>2695571.1122637913</x:v>
      </x:c>
      <x:c r="BL38" s="86" t="n">
        <x:f>BL12*'Assumptions'!$D$22/60*'Assumptions'!$D$23+BL20*'Assumptions'!$D$24/60*'Assumptions'!$D$25</x:f>
        <x:v>2822321.86391003</x:v>
      </x:c>
    </x:row>
    <x:row r="39" ht="23" customHeight="1">
      <x:c r="A39" s="2"/>
      <x:c r="B39" s="2"/>
      <x:c r="C39" s="4" t="str">
        <x:v>Fixed shared infrastructure COGS</x:v>
      </x:c>
      <x:c r="D39" s="2"/>
      <x:c r="E39" s="69" t="n">
        <x:f>'Assumptions'!E80</x:f>
        <x:v>25000</x:v>
      </x:c>
      <x:c r="F39" s="69" t="n">
        <x:f>'Assumptions'!E80</x:f>
        <x:v>25000</x:v>
      </x:c>
      <x:c r="G39" s="69" t="n">
        <x:f>'Assumptions'!E80</x:f>
        <x:v>25000</x:v>
      </x:c>
      <x:c r="H39" s="69" t="n">
        <x:f>'Assumptions'!E80</x:f>
        <x:v>25000</x:v>
      </x:c>
      <x:c r="I39" s="69" t="n">
        <x:f>'Assumptions'!E80</x:f>
        <x:v>25000</x:v>
      </x:c>
      <x:c r="J39" s="69" t="n">
        <x:f>'Assumptions'!E80</x:f>
        <x:v>25000</x:v>
      </x:c>
      <x:c r="K39" s="69" t="n">
        <x:f>'Assumptions'!E80</x:f>
        <x:v>25000</x:v>
      </x:c>
      <x:c r="L39" s="69" t="n">
        <x:f>'Assumptions'!E80</x:f>
        <x:v>25000</x:v>
      </x:c>
      <x:c r="M39" s="69" t="n">
        <x:f>'Assumptions'!E80</x:f>
        <x:v>25000</x:v>
      </x:c>
      <x:c r="N39" s="69" t="n">
        <x:f>'Assumptions'!E80</x:f>
        <x:v>25000</x:v>
      </x:c>
      <x:c r="O39" s="69" t="n">
        <x:f>'Assumptions'!E80</x:f>
        <x:v>25000</x:v>
      </x:c>
      <x:c r="P39" s="69" t="n">
        <x:f>'Assumptions'!E80</x:f>
        <x:v>25000</x:v>
      </x:c>
      <x:c r="Q39" s="69" t="n">
        <x:f>'Assumptions'!F80</x:f>
        <x:v>50000</x:v>
      </x:c>
      <x:c r="R39" s="86" t="n">
        <x:f>'Assumptions'!F80</x:f>
        <x:v>50000</x:v>
      </x:c>
      <x:c r="S39" s="86" t="n">
        <x:f>'Assumptions'!F80</x:f>
        <x:v>50000</x:v>
      </x:c>
      <x:c r="T39" s="86" t="n">
        <x:f>'Assumptions'!F80</x:f>
        <x:v>50000</x:v>
      </x:c>
      <x:c r="U39" s="86" t="n">
        <x:f>'Assumptions'!F80</x:f>
        <x:v>50000</x:v>
      </x:c>
      <x:c r="V39" s="86" t="n">
        <x:f>'Assumptions'!F80</x:f>
        <x:v>50000</x:v>
      </x:c>
      <x:c r="W39" s="86" t="n">
        <x:f>'Assumptions'!F80</x:f>
        <x:v>50000</x:v>
      </x:c>
      <x:c r="X39" s="86" t="n">
        <x:f>'Assumptions'!F80</x:f>
        <x:v>50000</x:v>
      </x:c>
      <x:c r="Y39" s="86" t="n">
        <x:f>'Assumptions'!F80</x:f>
        <x:v>50000</x:v>
      </x:c>
      <x:c r="Z39" s="86" t="n">
        <x:f>'Assumptions'!F80</x:f>
        <x:v>50000</x:v>
      </x:c>
      <x:c r="AA39" s="86" t="n">
        <x:f>'Assumptions'!F80</x:f>
        <x:v>50000</x:v>
      </x:c>
      <x:c r="AB39" s="86" t="n">
        <x:f>'Assumptions'!F80</x:f>
        <x:v>50000</x:v>
      </x:c>
      <x:c r="AC39" s="86" t="n">
        <x:f>'Assumptions'!G80</x:f>
        <x:v>120000</x:v>
      </x:c>
      <x:c r="AD39" s="86" t="n">
        <x:f>'Assumptions'!G80</x:f>
        <x:v>120000</x:v>
      </x:c>
      <x:c r="AE39" s="86" t="n">
        <x:f>'Assumptions'!G80</x:f>
        <x:v>120000</x:v>
      </x:c>
      <x:c r="AF39" s="86" t="n">
        <x:f>'Assumptions'!G80</x:f>
        <x:v>120000</x:v>
      </x:c>
      <x:c r="AG39" s="86" t="n">
        <x:f>'Assumptions'!G80</x:f>
        <x:v>120000</x:v>
      </x:c>
      <x:c r="AH39" s="86" t="n">
        <x:f>'Assumptions'!G80</x:f>
        <x:v>120000</x:v>
      </x:c>
      <x:c r="AI39" s="86" t="n">
        <x:f>'Assumptions'!G80</x:f>
        <x:v>120000</x:v>
      </x:c>
      <x:c r="AJ39" s="86" t="n">
        <x:f>'Assumptions'!G80</x:f>
        <x:v>120000</x:v>
      </x:c>
      <x:c r="AK39" s="86" t="n">
        <x:f>'Assumptions'!G80</x:f>
        <x:v>120000</x:v>
      </x:c>
      <x:c r="AL39" s="86" t="n">
        <x:f>'Assumptions'!G80</x:f>
        <x:v>120000</x:v>
      </x:c>
      <x:c r="AM39" s="86" t="n">
        <x:f>'Assumptions'!G80</x:f>
        <x:v>120000</x:v>
      </x:c>
      <x:c r="AN39" s="86" t="n">
        <x:f>'Assumptions'!G80</x:f>
        <x:v>120000</x:v>
      </x:c>
      <x:c r="AO39" s="86" t="n">
        <x:f>'Assumptions'!H80</x:f>
        <x:v>300000</x:v>
      </x:c>
      <x:c r="AP39" s="86" t="n">
        <x:f>'Assumptions'!H80</x:f>
        <x:v>300000</x:v>
      </x:c>
      <x:c r="AQ39" s="86" t="n">
        <x:f>'Assumptions'!H80</x:f>
        <x:v>300000</x:v>
      </x:c>
      <x:c r="AR39" s="86" t="n">
        <x:f>'Assumptions'!H80</x:f>
        <x:v>300000</x:v>
      </x:c>
      <x:c r="AS39" s="86" t="n">
        <x:f>'Assumptions'!H80</x:f>
        <x:v>300000</x:v>
      </x:c>
      <x:c r="AT39" s="86" t="n">
        <x:f>'Assumptions'!H80</x:f>
        <x:v>300000</x:v>
      </x:c>
      <x:c r="AU39" s="86" t="n">
        <x:f>'Assumptions'!H80</x:f>
        <x:v>300000</x:v>
      </x:c>
      <x:c r="AV39" s="86" t="n">
        <x:f>'Assumptions'!H80</x:f>
        <x:v>300000</x:v>
      </x:c>
      <x:c r="AW39" s="86" t="n">
        <x:f>'Assumptions'!H80</x:f>
        <x:v>300000</x:v>
      </x:c>
      <x:c r="AX39" s="86" t="n">
        <x:f>'Assumptions'!H80</x:f>
        <x:v>300000</x:v>
      </x:c>
      <x:c r="AY39" s="86" t="n">
        <x:f>'Assumptions'!H80</x:f>
        <x:v>300000</x:v>
      </x:c>
      <x:c r="AZ39" s="86" t="n">
        <x:f>'Assumptions'!H80</x:f>
        <x:v>300000</x:v>
      </x:c>
      <x:c r="BA39" s="86" t="n">
        <x:f>'Assumptions'!I80</x:f>
        <x:v>650000</x:v>
      </x:c>
      <x:c r="BB39" s="86" t="n">
        <x:f>'Assumptions'!I80</x:f>
        <x:v>650000</x:v>
      </x:c>
      <x:c r="BC39" s="86" t="n">
        <x:f>'Assumptions'!I80</x:f>
        <x:v>650000</x:v>
      </x:c>
      <x:c r="BD39" s="86" t="n">
        <x:f>'Assumptions'!I80</x:f>
        <x:v>650000</x:v>
      </x:c>
      <x:c r="BE39" s="86" t="n">
        <x:f>'Assumptions'!I80</x:f>
        <x:v>650000</x:v>
      </x:c>
      <x:c r="BF39" s="86" t="n">
        <x:f>'Assumptions'!I80</x:f>
        <x:v>650000</x:v>
      </x:c>
      <x:c r="BG39" s="86" t="n">
        <x:f>'Assumptions'!I80</x:f>
        <x:v>650000</x:v>
      </x:c>
      <x:c r="BH39" s="86" t="n">
        <x:f>'Assumptions'!I80</x:f>
        <x:v>650000</x:v>
      </x:c>
      <x:c r="BI39" s="86" t="n">
        <x:f>'Assumptions'!I80</x:f>
        <x:v>650000</x:v>
      </x:c>
      <x:c r="BJ39" s="86" t="n">
        <x:f>'Assumptions'!I80</x:f>
        <x:v>650000</x:v>
      </x:c>
      <x:c r="BK39" s="86" t="n">
        <x:f>'Assumptions'!I80</x:f>
        <x:v>650000</x:v>
      </x:c>
      <x:c r="BL39" s="86" t="n">
        <x:f>'Assumptions'!I80</x:f>
        <x:v>650000</x:v>
      </x:c>
    </x:row>
    <x:row r="40" ht="23" customHeight="1">
      <x:c r="A40" s="2"/>
      <x:c r="B40" s="2"/>
      <x:c r="C40" s="4" t="str">
        <x:v>Onboarding delivery COGS</x:v>
      </x:c>
      <x:c r="D40" s="2"/>
      <x:c r="E40" s="69" t="n">
        <x:f>E9*'Assumptions'!$D$26+E17*'Assumptions'!$D$27</x:f>
        <x:v>9200</x:v>
      </x:c>
      <x:c r="F40" s="69" t="n">
        <x:f>F9*'Assumptions'!$D$26+F17*'Assumptions'!$D$27</x:f>
        <x:v>9200</x:v>
      </x:c>
      <x:c r="G40" s="69" t="n">
        <x:f>G9*'Assumptions'!$D$26+G17*'Assumptions'!$D$27</x:f>
        <x:v>9200</x:v>
      </x:c>
      <x:c r="H40" s="69" t="n">
        <x:f>H9*'Assumptions'!$D$26+H17*'Assumptions'!$D$27</x:f>
        <x:v>9200</x:v>
      </x:c>
      <x:c r="I40" s="69" t="n">
        <x:f>I9*'Assumptions'!$D$26+I17*'Assumptions'!$D$27</x:f>
        <x:v>9200</x:v>
      </x:c>
      <x:c r="J40" s="69" t="n">
        <x:f>J9*'Assumptions'!$D$26+J17*'Assumptions'!$D$27</x:f>
        <x:v>9200</x:v>
      </x:c>
      <x:c r="K40" s="69" t="n">
        <x:f>K9*'Assumptions'!$D$26+K17*'Assumptions'!$D$27</x:f>
        <x:v>9200</x:v>
      </x:c>
      <x:c r="L40" s="69" t="n">
        <x:f>L9*'Assumptions'!$D$26+L17*'Assumptions'!$D$27</x:f>
        <x:v>9200</x:v>
      </x:c>
      <x:c r="M40" s="69" t="n">
        <x:f>M9*'Assumptions'!$D$26+M17*'Assumptions'!$D$27</x:f>
        <x:v>9200</x:v>
      </x:c>
      <x:c r="N40" s="69" t="n">
        <x:f>N9*'Assumptions'!$D$26+N17*'Assumptions'!$D$27</x:f>
        <x:v>9200</x:v>
      </x:c>
      <x:c r="O40" s="69" t="n">
        <x:f>O9*'Assumptions'!$D$26+O17*'Assumptions'!$D$27</x:f>
        <x:v>9200</x:v>
      </x:c>
      <x:c r="P40" s="69" t="n">
        <x:f>P9*'Assumptions'!$D$26+P17*'Assumptions'!$D$27</x:f>
        <x:v>9200</x:v>
      </x:c>
      <x:c r="Q40" s="69" t="n">
        <x:f>Q9*'Assumptions'!$D$26+Q17*'Assumptions'!$D$27</x:f>
        <x:v>60100</x:v>
      </x:c>
      <x:c r="R40" s="86" t="n">
        <x:f>R9*'Assumptions'!$D$26+R17*'Assumptions'!$D$27</x:f>
        <x:v>60100</x:v>
      </x:c>
      <x:c r="S40" s="86" t="n">
        <x:f>S9*'Assumptions'!$D$26+S17*'Assumptions'!$D$27</x:f>
        <x:v>60100</x:v>
      </x:c>
      <x:c r="T40" s="86" t="n">
        <x:f>T9*'Assumptions'!$D$26+T17*'Assumptions'!$D$27</x:f>
        <x:v>60100</x:v>
      </x:c>
      <x:c r="U40" s="86" t="n">
        <x:f>U9*'Assumptions'!$D$26+U17*'Assumptions'!$D$27</x:f>
        <x:v>60100</x:v>
      </x:c>
      <x:c r="V40" s="86" t="n">
        <x:f>V9*'Assumptions'!$D$26+V17*'Assumptions'!$D$27</x:f>
        <x:v>60100</x:v>
      </x:c>
      <x:c r="W40" s="86" t="n">
        <x:f>W9*'Assumptions'!$D$26+W17*'Assumptions'!$D$27</x:f>
        <x:v>60100</x:v>
      </x:c>
      <x:c r="X40" s="86" t="n">
        <x:f>X9*'Assumptions'!$D$26+X17*'Assumptions'!$D$27</x:f>
        <x:v>60100</x:v>
      </x:c>
      <x:c r="Y40" s="86" t="n">
        <x:f>Y9*'Assumptions'!$D$26+Y17*'Assumptions'!$D$27</x:f>
        <x:v>60100</x:v>
      </x:c>
      <x:c r="Z40" s="86" t="n">
        <x:f>Z9*'Assumptions'!$D$26+Z17*'Assumptions'!$D$27</x:f>
        <x:v>60100</x:v>
      </x:c>
      <x:c r="AA40" s="86" t="n">
        <x:f>AA9*'Assumptions'!$D$26+AA17*'Assumptions'!$D$27</x:f>
        <x:v>60100</x:v>
      </x:c>
      <x:c r="AB40" s="86" t="n">
        <x:f>AB9*'Assumptions'!$D$26+AB17*'Assumptions'!$D$27</x:f>
        <x:v>60100</x:v>
      </x:c>
      <x:c r="AC40" s="86" t="n">
        <x:f>AC9*'Assumptions'!$D$26+AC17*'Assumptions'!$D$27</x:f>
        <x:v>207000</x:v>
      </x:c>
      <x:c r="AD40" s="86" t="n">
        <x:f>AD9*'Assumptions'!$D$26+AD17*'Assumptions'!$D$27</x:f>
        <x:v>207000</x:v>
      </x:c>
      <x:c r="AE40" s="86" t="n">
        <x:f>AE9*'Assumptions'!$D$26+AE17*'Assumptions'!$D$27</x:f>
        <x:v>207000</x:v>
      </x:c>
      <x:c r="AF40" s="86" t="n">
        <x:f>AF9*'Assumptions'!$D$26+AF17*'Assumptions'!$D$27</x:f>
        <x:v>207000</x:v>
      </x:c>
      <x:c r="AG40" s="86" t="n">
        <x:f>AG9*'Assumptions'!$D$26+AG17*'Assumptions'!$D$27</x:f>
        <x:v>207000</x:v>
      </x:c>
      <x:c r="AH40" s="86" t="n">
        <x:f>AH9*'Assumptions'!$D$26+AH17*'Assumptions'!$D$27</x:f>
        <x:v>207000</x:v>
      </x:c>
      <x:c r="AI40" s="86" t="n">
        <x:f>AI9*'Assumptions'!$D$26+AI17*'Assumptions'!$D$27</x:f>
        <x:v>207000</x:v>
      </x:c>
      <x:c r="AJ40" s="86" t="n">
        <x:f>AJ9*'Assumptions'!$D$26+AJ17*'Assumptions'!$D$27</x:f>
        <x:v>207000</x:v>
      </x:c>
      <x:c r="AK40" s="86" t="n">
        <x:f>AK9*'Assumptions'!$D$26+AK17*'Assumptions'!$D$27</x:f>
        <x:v>207000</x:v>
      </x:c>
      <x:c r="AL40" s="86" t="n">
        <x:f>AL9*'Assumptions'!$D$26+AL17*'Assumptions'!$D$27</x:f>
        <x:v>207000</x:v>
      </x:c>
      <x:c r="AM40" s="86" t="n">
        <x:f>AM9*'Assumptions'!$D$26+AM17*'Assumptions'!$D$27</x:f>
        <x:v>207000</x:v>
      </x:c>
      <x:c r="AN40" s="86" t="n">
        <x:f>AN9*'Assumptions'!$D$26+AN17*'Assumptions'!$D$27</x:f>
        <x:v>207000</x:v>
      </x:c>
      <x:c r="AO40" s="86" t="n">
        <x:f>AO9*'Assumptions'!$D$26+AO17*'Assumptions'!$D$27</x:f>
        <x:v>477000</x:v>
      </x:c>
      <x:c r="AP40" s="86" t="n">
        <x:f>AP9*'Assumptions'!$D$26+AP17*'Assumptions'!$D$27</x:f>
        <x:v>477000</x:v>
      </x:c>
      <x:c r="AQ40" s="86" t="n">
        <x:f>AQ9*'Assumptions'!$D$26+AQ17*'Assumptions'!$D$27</x:f>
        <x:v>477000</x:v>
      </x:c>
      <x:c r="AR40" s="86" t="n">
        <x:f>AR9*'Assumptions'!$D$26+AR17*'Assumptions'!$D$27</x:f>
        <x:v>477000</x:v>
      </x:c>
      <x:c r="AS40" s="86" t="n">
        <x:f>AS9*'Assumptions'!$D$26+AS17*'Assumptions'!$D$27</x:f>
        <x:v>477000</x:v>
      </x:c>
      <x:c r="AT40" s="86" t="n">
        <x:f>AT9*'Assumptions'!$D$26+AT17*'Assumptions'!$D$27</x:f>
        <x:v>477000</x:v>
      </x:c>
      <x:c r="AU40" s="86" t="n">
        <x:f>AU9*'Assumptions'!$D$26+AU17*'Assumptions'!$D$27</x:f>
        <x:v>477000</x:v>
      </x:c>
      <x:c r="AV40" s="86" t="n">
        <x:f>AV9*'Assumptions'!$D$26+AV17*'Assumptions'!$D$27</x:f>
        <x:v>477000</x:v>
      </x:c>
      <x:c r="AW40" s="86" t="n">
        <x:f>AW9*'Assumptions'!$D$26+AW17*'Assumptions'!$D$27</x:f>
        <x:v>477000</x:v>
      </x:c>
      <x:c r="AX40" s="86" t="n">
        <x:f>AX9*'Assumptions'!$D$26+AX17*'Assumptions'!$D$27</x:f>
        <x:v>477000</x:v>
      </x:c>
      <x:c r="AY40" s="86" t="n">
        <x:f>AY9*'Assumptions'!$D$26+AY17*'Assumptions'!$D$27</x:f>
        <x:v>477000</x:v>
      </x:c>
      <x:c r="AZ40" s="86" t="n">
        <x:f>AZ9*'Assumptions'!$D$26+AZ17*'Assumptions'!$D$27</x:f>
        <x:v>477000</x:v>
      </x:c>
      <x:c r="BA40" s="86" t="n">
        <x:f>BA9*'Assumptions'!$D$26+BA17*'Assumptions'!$D$27</x:f>
        <x:v>936000</x:v>
      </x:c>
      <x:c r="BB40" s="86" t="n">
        <x:f>BB9*'Assumptions'!$D$26+BB17*'Assumptions'!$D$27</x:f>
        <x:v>936000</x:v>
      </x:c>
      <x:c r="BC40" s="86" t="n">
        <x:f>BC9*'Assumptions'!$D$26+BC17*'Assumptions'!$D$27</x:f>
        <x:v>936000</x:v>
      </x:c>
      <x:c r="BD40" s="86" t="n">
        <x:f>BD9*'Assumptions'!$D$26+BD17*'Assumptions'!$D$27</x:f>
        <x:v>936000</x:v>
      </x:c>
      <x:c r="BE40" s="86" t="n">
        <x:f>BE9*'Assumptions'!$D$26+BE17*'Assumptions'!$D$27</x:f>
        <x:v>936000</x:v>
      </x:c>
      <x:c r="BF40" s="86" t="n">
        <x:f>BF9*'Assumptions'!$D$26+BF17*'Assumptions'!$D$27</x:f>
        <x:v>936000</x:v>
      </x:c>
      <x:c r="BG40" s="86" t="n">
        <x:f>BG9*'Assumptions'!$D$26+BG17*'Assumptions'!$D$27</x:f>
        <x:v>936000</x:v>
      </x:c>
      <x:c r="BH40" s="86" t="n">
        <x:f>BH9*'Assumptions'!$D$26+BH17*'Assumptions'!$D$27</x:f>
        <x:v>936000</x:v>
      </x:c>
      <x:c r="BI40" s="86" t="n">
        <x:f>BI9*'Assumptions'!$D$26+BI17*'Assumptions'!$D$27</x:f>
        <x:v>936000</x:v>
      </x:c>
      <x:c r="BJ40" s="86" t="n">
        <x:f>BJ9*'Assumptions'!$D$26+BJ17*'Assumptions'!$D$27</x:f>
        <x:v>936000</x:v>
      </x:c>
      <x:c r="BK40" s="86" t="n">
        <x:f>BK9*'Assumptions'!$D$26+BK17*'Assumptions'!$D$27</x:f>
        <x:v>936000</x:v>
      </x:c>
      <x:c r="BL40" s="86" t="n">
        <x:f>BL9*'Assumptions'!$D$26+BL17*'Assumptions'!$D$27</x:f>
        <x:v>936000</x:v>
      </x:c>
    </x:row>
    <x:row r="41" ht="23" customHeight="1">
      <x:c r="A41" s="2"/>
      <x:c r="B41" s="2"/>
      <x:c r="C41" s="106" t="str">
        <x:v>Total software COGS</x:v>
      </x:c>
      <x:c r="D41" s="107"/>
      <x:c r="E41" s="112" t="n">
        <x:f>SUM(E37:E40)</x:f>
        <x:v>35656.66666666667</x:v>
      </x:c>
      <x:c r="F41" s="112" t="n">
        <x:f>SUM(F37:F40)</x:f>
        <x:v>38558.89666666667</x:v>
      </x:c>
      <x:c r="G41" s="112" t="n">
        <x:f>SUM(G37:G40)</x:f>
        <x:v>41439.00497666666</x:v>
      </x:c>
      <x:c r="H41" s="112" t="n">
        <x:f>SUM(H37:H40)</x:f>
        <x:v>44297.160897136666</x:v>
      </x:c>
      <x:c r="I41" s="112" t="n">
        <x:f>SUM(I37:I40)</x:f>
        <x:v>47133.532427854254</x:v>
      </x:c>
      <x:c r="J41" s="112" t="n">
        <x:f>SUM(J37:J40)</x:f>
        <x:v>49948.28627793418</x:v>
      </x:c>
      <x:c r="K41" s="112" t="n">
        <x:f>SUM(K37:K40)</x:f>
        <x:v>52741.58787578027</x:v>
      </x:c>
      <x:c r="L41" s="112" t="n">
        <x:f>SUM(L37:L40)</x:f>
        <x:v>55513.60137896045</x:v>
      </x:c>
      <x:c r="M41" s="112" t="n">
        <x:f>SUM(M37:M40)</x:f>
        <x:v>58264.4896840052</x:v>
      </x:c>
      <x:c r="N41" s="112" t="n">
        <x:f>SUM(N37:N40)</x:f>
        <x:v>60994.414436130406</x:v>
      </x:c>
      <x:c r="O41" s="112" t="n">
        <x:f>SUM(O37:O40)</x:f>
        <x:v>63703.53603888475</x:v>
      </x:c>
      <x:c r="P41" s="112" t="n">
        <x:f>SUM(P37:P40)</x:f>
        <x:v>66392.0136637227</x:v>
      </x:c>
      <x:c r="Q41" s="112" t="n">
        <x:f>SUM(Q37:Q40)</x:f>
        <x:v>153036.6719261699</x:v>
      </x:c>
      <x:c r="R41" s="113" t="n">
        <x:f>SUM(R37:R40)</x:f>
        <x:v>171775.8042285819</x:v>
      </x:c>
      <x:c r="S41" s="113" t="n">
        <x:f>SUM(S37:S40)</x:f>
        <x:v>190371.5117594965</x:v>
      </x:c>
      <x:c r="T41" s="113" t="n">
        <x:f>SUM(T37:T40)</x:f>
        <x:v>208824.89649907727</x:v>
      </x:c>
      <x:c r="U41" s="113" t="n">
        <x:f>SUM(U37:U40)</x:f>
        <x:v>227137.05192957242</x:v>
      </x:c>
      <x:c r="V41" s="113" t="n">
        <x:f>SUM(V37:V40)</x:f>
        <x:v>245309.0631010729</x:v>
      </x:c>
      <x:c r="W41" s="113" t="n">
        <x:f>SUM(W37:W40)</x:f>
        <x:v>263342.0066967595</x:v>
      </x:c>
      <x:c r="X41" s="113" t="n">
        <x:f>SUM(X37:X40)</x:f>
        <x:v>281236.95109764376</x:v>
      </x:c>
      <x:c r="Y41" s="113" t="n">
        <x:f>SUM(Y37:Y40)</x:f>
        <x:v>298994.95644680643</x:v>
      </x:c>
      <x:c r="Z41" s="113" t="n">
        <x:f>SUM(Z37:Z40)</x:f>
        <x:v>316617.0747131369</x:v>
      </x:c>
      <x:c r="AA41" s="113" t="n">
        <x:f>SUM(AA37:AA40)</x:f>
        <x:v>334104.34975457797</x:v>
      </x:c>
      <x:c r="AB41" s="113" t="n">
        <x:f>SUM(AB37:AB40)</x:f>
        <x:v>351457.81738088024</x:v>
      </x:c>
      <x:c r="AC41" s="113" t="n">
        <x:f>SUM(AC37:AC40)</x:f>
        <x:v>608820.172082535</x:v>
      </x:c>
      <x:c r="AD41" s="113" t="n">
        <x:f>SUM(AD37:AD40)</x:f>
        <x:v>672215.5754258917</x:v>
      </x:c>
      <x:c r="AE41" s="113" t="n">
        <x:f>SUM(AE37:AE40)</x:f>
        <x:v>735127.8657894613</x:v>
      </x:c>
      <x:c r="AF41" s="113" t="n">
        <x:f>SUM(AF37:AF40)</x:f>
        <x:v>797560.7397253534</x:v>
      </x:c>
      <x:c r="AG41" s="113" t="n">
        <x:f>SUM(AG37:AG40)</x:f>
        <x:v>859517.8653917231</x:v>
      </x:c>
      <x:c r="AH41" s="113" t="n">
        <x:f>SUM(AH37:AH40)</x:f>
        <x:v>921002.8827716727</x:v>
      </x:c>
      <x:c r="AI41" s="113" t="n">
        <x:f>SUM(AI37:AI40)</x:f>
        <x:v>982019.403890461</x:v>
      </x:c>
      <x:c r="AJ41" s="113" t="n">
        <x:f>SUM(AJ37:AJ40)</x:f>
        <x:v>1042571.0130310323</x:v>
      </x:c>
      <x:c r="AK41" s="113" t="n">
        <x:f>SUM(AK37:AK40)</x:f>
        <x:v>1102661.2669478771</x:v>
      </x:c>
      <x:c r="AL41" s="113" t="n">
        <x:f>SUM(AL37:AL40)</x:f>
        <x:v>1162293.6950792396</x:v>
      </x:c>
      <x:c r="AM41" s="113" t="n">
        <x:f>SUM(AM37:AM40)</x:f>
        <x:v>1221471.7997576827</x:v>
      </x:c>
      <x:c r="AN41" s="113" t="n">
        <x:f>SUM(AN37:AN40)</x:f>
        <x:v>1280199.0564190242</x:v>
      </x:c>
      <x:c r="AO41" s="113" t="n">
        <x:f>SUM(AO37:AO40)</x:f>
        <x:v>1831453.91380966</x:v>
      </x:c>
      <x:c r="AP41" s="113" t="n">
        <x:f>SUM(AP37:AP40)</x:f>
        <x:v>1974908.369192276</x:v>
      </x:c>
      <x:c r="AQ41" s="113" t="n">
        <x:f>SUM(AQ37:AQ40)</x:f>
        <x:v>2117261.95832498</x:v>
      </x:c>
      <x:c r="AR41" s="113" t="n">
        <x:f>SUM(AR37:AR40)</x:f>
        <x:v>2258523.160752018</x:v>
      </x:c>
      <x:c r="AS41" s="113" t="n">
        <x:f>SUM(AS37:AS40)</x:f>
        <x:v>2398700.390472985</x:v>
      </x:c>
      <x:c r="AT41" s="113" t="n">
        <x:f>SUM(AT37:AT40)</x:f>
        <x:v>2537801.996451135</x:v>
      </x:c>
      <x:c r="AU41" s="113" t="n">
        <x:f>SUM(AU37:AU40)</x:f>
        <x:v>2675836.263117746</x:v>
      </x:c>
      <x:c r="AV41" s="113" t="n">
        <x:f>SUM(AV37:AV40)</x:f>
        <x:v>2812811.4108725567</x:v>
      </x:c>
      <x:c r="AW41" s="113" t="n">
        <x:f>SUM(AW37:AW40)</x:f>
        <x:v>2948735.5965803107</x:v>
      </x:c>
      <x:c r="AX41" s="113" t="n">
        <x:f>SUM(AX37:AX40)</x:f>
        <x:v>3083616.9140634397</x:v>
      </x:c>
      <x:c r="AY41" s="113" t="n">
        <x:f>SUM(AY37:AY40)</x:f>
        <x:v>3217463.3945909133</x:v>
      </x:c>
      <x:c r="AZ41" s="113" t="n">
        <x:f>SUM(AZ37:AZ40)</x:f>
        <x:v>3350283.007363287</x:v>
      </x:c>
      <x:c r="BA41" s="113" t="n">
        <x:f>SUM(BA37:BA40)</x:f>
        <x:v>4364083.659993978</x:v>
      </x:c>
      <x:c r="BB41" s="113" t="n">
        <x:f>SUM(BB37:BB40)</x:f>
        <x:v>4640311.198986796</x:v>
      </x:c>
      <x:c r="BC41" s="113" t="n">
        <x:f>SUM(BC37:BC40)</x:f>
        <x:v>4914415.752209762</x:v>
      </x:c>
      <x:c r="BD41" s="113" t="n">
        <x:f>SUM(BD37:BD40)</x:f>
        <x:v>5186413.695707241</x:v>
      </x:c>
      <x:c r="BE41" s="113" t="n">
        <x:f>SUM(BE37:BE40)</x:f>
        <x:v>5456321.278770134</x:v>
      </x:c>
      <x:c r="BF41" s="113" t="n">
        <x:f>SUM(BF37:BF40)</x:f>
        <x:v>5724154.624920123</x:v>
      </x:c>
      <x:c r="BG41" s="113" t="n">
        <x:f>SUM(BG37:BG40)</x:f>
        <x:v>5989929.732886252</x:v>
      </x:c>
      <x:c r="BH41" s="113" t="n">
        <x:f>SUM(BH37:BH40)</x:f>
        <x:v>6253662.477573894</x:v>
      </x:c>
      <x:c r="BI41" s="113" t="n">
        <x:f>SUM(BI37:BI40)</x:f>
        <x:v>6515368.611026179</x:v>
      </x:c>
      <x:c r="BJ41" s="113" t="n">
        <x:f>SUM(BJ37:BJ40)</x:f>
        <x:v>6775063.763377936</x:v>
      </x:c>
      <x:c r="BK41" s="113" t="n">
        <x:f>SUM(BK37:BK40)</x:f>
        <x:v>7032763.443802198</x:v>
      </x:c>
      <x:c r="BL41" s="113" t="n">
        <x:f>SUM(BL37:BL40)</x:f>
        <x:v>7288483.041449349</x:v>
      </x:c>
    </x:row>
    <x:row r="42" ht="23" customHeight="1">
      <x:c r="A42" s="2"/>
      <x:c r="B42" s="2"/>
      <x:c r="C42" s="106" t="str">
        <x:v>Software gross profit</x:v>
      </x:c>
      <x:c r="D42" s="107"/>
      <x:c r="E42" s="112" t="n">
        <x:f>E25-E41</x:f>
        <x:v>-23706.728023598826</x:v>
      </x:c>
      <x:c r="F42" s="112" t="n">
        <x:f>F25-F41</x:f>
        <x:v>-2799.686441297934</x:v>
      </x:c>
      <x:c r="G42" s="112" t="n">
        <x:f>G25-G41</x:f>
        <x:v>17948.95531232685</x:v>
      </x:c>
      <x:c r="H42" s="112" t="n">
        <x:f>H25-H41</x:f>
        <x:v>38540.402440377045</x:v>
      </x:c>
      <x:c r="I42" s="112" t="n">
        <x:f>I25-I41</x:f>
        <x:v>58975.850938298114</x:v>
      </x:c>
      <x:c r="J42" s="112" t="n">
        <x:f>J25-J41</x:f>
        <x:v>79256.48766450275</x:v>
      </x:c>
      <x:c r="K42" s="112" t="n">
        <x:f>K25-K41</x:f>
        <x:v>99383.49041045088</x:v>
      </x:c>
      <x:c r="L42" s="112" t="n">
        <x:f>L25-L41</x:f>
        <x:v>119358.02797018967</x:v>
      </x:c>
      <x:c r="M42" s="112" t="n">
        <x:f>M25-M41</x:f>
        <x:v>139181.26020935844</x:v>
      </x:c>
      <x:c r="N42" s="112" t="n">
        <x:f>N25-N41</x:f>
        <x:v>158854.3381336625</x:v>
      </x:c>
      <x:c r="O42" s="112" t="n">
        <x:f>O25-O41</x:f>
        <x:v>178378.4039568193</x:v>
      </x:c>
      <x:c r="P42" s="112" t="n">
        <x:f>P25-P41</x:f>
        <x:v>197754.5911679824</x:v>
      </x:c>
      <x:c r="Q42" s="112" t="n">
        <x:f>Q25-Q41</x:f>
        <x:v>215548.68538331147</x:v>
      </x:c>
      <x:c r="R42" s="113" t="n">
        <x:f>R25-R41</x:f>
        <x:v>357050.5784279018</x:v>
      </x:c>
      <x:c r="S42" s="113" t="n">
        <x:f>S25-S41</x:f>
        <x:v>497474.99343333265</x:v>
      </x:c>
      <x:c r="T42" s="113" t="n">
        <x:f>T25-T41</x:f>
        <x:v>636830.168464181</x:v>
      </x:c>
      <x:c r="U42" s="113" t="n">
        <x:f>U25-U41</x:f>
        <x:v>775124.2783528252</x:v>
      </x:c>
      <x:c r="V42" s="113" t="n">
        <x:f>V25-V41</x:f>
        <x:v>912365.4351865965</x:v>
      </x:c>
      <x:c r="W42" s="113" t="n">
        <x:f>W25-W41</x:f>
        <x:v>1048561.6887911644</x:v>
      </x:c>
      <x:c r="X42" s="113" t="n">
        <x:f>X25-X41</x:f>
        <x:v>1183721.0272101841</x:v>
      </x:c>
      <x:c r="Y42" s="113" t="n">
        <x:f>Y25-Y41</x:f>
        <x:v>1317851.3771812373</x:v>
      </x:c>
      <x:c r="Z42" s="113" t="n">
        <x:f>Z25-Z41</x:f>
        <x:v>1450960.604608092</x:v>
      </x:c>
      <x:c r="AA42" s="113" t="n">
        <x:f>AA25-AA41</x:f>
        <x:v>1583056.515029312</x:v>
      </x:c>
      <x:c r="AB42" s="113" t="n">
        <x:f>AB25-AB41</x:f>
        <x:v>1714146.8540832468</x:v>
      </x:c>
      <x:c r="AC42" s="113" t="n">
        <x:f>AC25-AC41</x:f>
        <x:v>1875532.5048275576</x:v>
      </x:c>
      <x:c r="AD42" s="113" t="n">
        <x:f>AD25-AD41</x:f>
        <x:v>2373210.623796454</x:v>
      </x:c>
      <x:c r="AE42" s="113" t="n">
        <x:f>AE25-AE41</x:f>
        <x:v>2867117.3076207233</x:v>
      </x:c>
      <x:c r="AF42" s="113" t="n">
        <x:f>AF25-AF41</x:f>
        <x:v>3357281.2578528738</x:v>
      </x:c>
      <x:c r="AG42" s="113" t="n">
        <x:f>AG25-AG41</x:f>
        <x:v>3843730.9567224914</x:v>
      </x:c>
      <x:c r="AH42" s="113" t="n">
        <x:f>AH25-AH41</x:f>
        <x:v>4326494.668818802</x:v>
      </x:c>
      <x:c r="AI42" s="113" t="n">
        <x:f>AI25-AI41</x:f>
        <x:v>4805600.442760268</x:v>
      </x:c>
      <x:c r="AJ42" s="113" t="n">
        <x:f>AJ25-AJ41</x:f>
        <x:v>5281076.112851337</x:v>
      </x:c>
      <x:c r="AK42" s="113" t="n">
        <x:f>AK25-AK41</x:f>
        <x:v>5752949.300726421</x:v>
      </x:c>
      <x:c r="AL42" s="113" t="n">
        <x:f>AL25-AL41</x:f>
        <x:v>6221247.416981237</x:v>
      </x:c>
      <x:c r="AM42" s="113" t="n">
        <x:f>AM25-AM41</x:f>
        <x:v>6685997.662791568</x:v>
      </x:c>
      <x:c r="AN42" s="113" t="n">
        <x:f>AN25-AN41</x:f>
        <x:v>7147227.031519568</x:v>
      </x:c>
      <x:c r="AO42" s="113" t="n">
        <x:f>AO25-AO41</x:f>
        <x:v>7755522.97648978</x:v>
      </x:c>
      <x:c r="AP42" s="113" t="n">
        <x:f>AP25-AP41</x:f>
        <x:v>8906688.288245719</x:v>
      </x:c>
      <x:c r="AQ42" s="113" t="n">
        <x:f>AQ25-AQ41</x:f>
        <x:v>10049067.873507664</x:v>
      </x:c>
      <x:c r="AR42" s="113" t="n">
        <x:f>AR25-AR41</x:f>
        <x:v>11182729.052915562</x:v>
      </x:c>
      <x:c r="AS42" s="113" t="n">
        <x:f>AS25-AS41</x:f>
        <x:v>12307738.629300453</x:v>
      </x:c>
      <x:c r="AT42" s="113" t="n">
        <x:f>AT25-AT41</x:f>
        <x:v>13424162.891681634</x:v>
      </x:c>
      <x:c r="AU42" s="113" t="n">
        <x:f>AU25-AU41</x:f>
        <x:v>14532067.619232886</x:v>
      </x:c>
      <x:c r="AV42" s="113" t="n">
        <x:f>AV25-AV41</x:f>
        <x:v>15631518.085217956</x:v>
      </x:c>
      <x:c r="AW42" s="113" t="n">
        <x:f>AW25-AW41</x:f>
        <x:v>16722579.0608956</x:v>
      </x:c>
      <x:c r="AX42" s="113" t="n">
        <x:f>AX25-AX41</x:f>
        <x:v>17805314.819394335</x:v>
      </x:c>
      <x:c r="AY42" s="113" t="n">
        <x:f>AY25-AY41</x:f>
        <x:v>18879789.139557205</x:v>
      </x:c>
      <x:c r="AZ42" s="113" t="n">
        <x:f>AZ25-AZ41</x:f>
        <x:v>19946065.309756774</x:v>
      </x:c>
      <x:c r="BA42" s="113" t="n">
        <x:f>BA25-BA41</x:f>
        <x:v>21477839.240664035</x:v>
      </x:c>
      <x:c r="BB42" s="113" t="n">
        <x:f>BB25-BB41</x:f>
        <x:v>23758198.353838738</x:v>
      </x:c>
      <x:c r="BC42" s="113" t="n">
        <x:f>BC25-BC41</x:f>
        <x:v>26021129.357796215</x:v>
      </x:c>
      <x:c r="BD42" s="113" t="n">
        <x:f>BD25-BD41</x:f>
        <x:v>28266765.974064402</x:v>
      </x:c>
      <x:c r="BE42" s="113" t="n">
        <x:f>BE25-BE41</x:f>
        <x:v>30495240.894322395</x:v>
      </x:c>
      <x:c r="BF42" s="113" t="n">
        <x:f>BF25-BF41</x:f>
        <x:v>32706685.78835985</x:v>
      </x:c>
      <x:c r="BG42" s="113" t="n">
        <x:f>BG25-BG41</x:f>
        <x:v>34901231.31197454</x:v>
      </x:c>
      <x:c r="BH42" s="113" t="n">
        <x:f>BH25-BH41</x:f>
        <x:v>37079007.11480874</x:v>
      </x:c>
      <x:c r="BI42" s="113" t="n">
        <x:f>BI25-BI41</x:f>
        <x:v>39240141.84812482</x:v>
      </x:c>
      <x:c r="BJ42" s="113" t="n">
        <x:f>BJ25-BJ41</x:f>
        <x:v>41384763.172520615</x:v>
      </x:c>
      <x:c r="BK42" s="113" t="n">
        <x:f>BK25-BK41</x:f>
        <x:v>43512997.765584856</x:v>
      </x:c>
      <x:c r="BL42" s="113" t="n">
        <x:f>BL25-BL41</x:f>
        <x:v>45624971.329493344</x:v>
      </x:c>
    </x:row>
    <x:row r="43" ht="23" customHeight="1">
      <x:c r="A43" s="2"/>
      <x:c r="B43" s="2"/>
      <x:c r="C43" s="118" t="str">
        <x:v>Software gross margin</x:v>
      </x:c>
      <x:c r="D43" s="119"/>
      <x:c r="E43" s="120" t="n">
        <x:f>IF(E25=0,"n.a.",E42/E25)</x:f>
        <x:v>-1.9838367988065853</x:v>
      </x:c>
      <x:c r="F43" s="120" t="n">
        <x:f>IF(F25=0,"n.a.",F42/F25)</x:f>
        <x:v>-0.0782927369942792</x:v>
      </x:c>
      <x:c r="G43" s="120" t="n">
        <x:f>IF(G25=0,"n.a.",G42/G25)</x:f>
        <x:v>0.30223222392188076</x:v>
      </x:c>
      <x:c r="H43" s="120" t="n">
        <x:f>IF(H25=0,"n.a.",H42/H25)</x:f>
        <x:v>0.4652527294090951</x:v>
      </x:c>
      <x:c r="I43" s="120" t="n">
        <x:f>IF(I25=0,"n.a.",I42/I25)</x:f>
        <x:v>0.5558024094324415</x:v>
      </x:c>
      <x:c r="J43" s="120" t="n">
        <x:f>IF(J25=0,"n.a.",J42/J25)</x:f>
        <x:v>0.6134176412073826</x:v>
      </x:c>
      <x:c r="K43" s="120" t="n">
        <x:f>IF(K25=0,"n.a.",K42/K25)</x:f>
        <x:v>0.6533011619784066</x:v>
      </x:c>
      <x:c r="L43" s="120" t="n">
        <x:f>IF(L25=0,"n.a.",L42/L25)</x:f>
        <x:v>0.682546553803067</x:v>
      </x:c>
      <x:c r="M43" s="120" t="n">
        <x:f>IF(M25=0,"n.a.",M42/M25)</x:f>
        <x:v>0.7049088688134708</x:v>
      </x:c>
      <x:c r="N43" s="120" t="n">
        <x:f>IF(N25=0,"n.a.",N42/N25)</x:f>
        <x:v>0.7225619262189482</x:v>
      </x:c>
      <x:c r="O43" s="120" t="n">
        <x:f>IF(O25=0,"n.a.",O42/O25)</x:f>
        <x:v>0.7368513485970278</x:v>
      </x:c>
      <x:c r="P43" s="120" t="n">
        <x:f>IF(P25=0,"n.a.",P42/P25)</x:f>
        <x:v>0.7486546771781419</x:v>
      </x:c>
      <x:c r="Q43" s="120" t="n">
        <x:f>IF(Q25=0,"n.a.",Q42/Q25)</x:f>
        <x:v>0.5847999143447438</x:v>
      </x:c>
      <x:c r="R43" s="121" t="n">
        <x:f>IF(R25=0,"n.a.",R42/R25)</x:f>
        <x:v>0.6751754264496209</x:v>
      </x:c>
      <x:c r="S43" s="121" t="n">
        <x:f>IF(S25=0,"n.a.",S42/S25)</x:f>
        <x:v>0.7232354743066867</x:v>
      </x:c>
      <x:c r="T43" s="121" t="n">
        <x:f>IF(T25=0,"n.a.",T42/T25)</x:f>
        <x:v>0.7530613779175435</x:v>
      </x:c>
      <x:c r="U43" s="121" t="n">
        <x:f>IF(U25=0,"n.a.",U42/U25)</x:f>
        <x:v>0.7733754210934446</x:v>
      </x:c>
      <x:c r="V43" s="121" t="n">
        <x:f>IF(V25=0,"n.a.",V42/V25)</x:f>
        <x:v>0.7881018684751953</x:v>
      </x:c>
      <x:c r="W43" s="121" t="n">
        <x:f>IF(W25=0,"n.a.",W42/W25)</x:f>
        <x:v>0.7992672727407654</x:v>
      </x:c>
      <x:c r="X43" s="121" t="n">
        <x:f>IF(X25=0,"n.a.",X42/X25)</x:f>
        <x:v>0.8080238783214108</x:v>
      </x:c>
      <x:c r="Y43" s="121" t="n">
        <x:f>IF(Y25=0,"n.a.",Y42/Y25)</x:f>
        <x:v>0.8150752175836703</x:v>
      </x:c>
      <x:c r="Z43" s="121" t="n">
        <x:f>IF(Z25=0,"n.a.",Z42/Z25)</x:f>
        <x:v>0.820875156765545</x:v>
      </x:c>
      <x:c r="AA43" s="121" t="n">
        <x:f>IF(AA25=0,"n.a.",AA42/AA25)</x:f>
        <x:v>0.8257296213939567</x:v>
      </x:c>
      <x:c r="AB43" s="121" t="n">
        <x:f>IF(AB25=0,"n.a.",AB42/AB25)</x:f>
        <x:v>0.8298523322317225</x:v>
      </x:c>
      <x:c r="AC43" s="121" t="n">
        <x:f>IF(AC25=0,"n.a.",AC42/AC25)</x:f>
        <x:v>0.754938106114727</x:v>
      </x:c>
      <x:c r="AD43" s="121" t="n">
        <x:f>IF(AD25=0,"n.a.",AD42/AD25)</x:f>
        <x:v>0.7792704431328715</x:v>
      </x:c>
      <x:c r="AE43" s="121" t="n">
        <x:f>IF(AE25=0,"n.a.",AE42/AE25)</x:f>
        <x:v>0.7959250882711216</x:v>
      </x:c>
      <x:c r="AF43" s="121" t="n">
        <x:f>IF(AF25=0,"n.a.",AF42/AF25)</x:f>
        <x:v>0.8080406570959292</x:v>
      </x:c>
      <x:c r="AG43" s="121" t="n">
        <x:f>IF(AG25=0,"n.a.",AG42/AG25)</x:f>
        <x:v>0.8172501821825046</x:v>
      </x:c>
      <x:c r="AH43" s="121" t="n">
        <x:f>IF(AH25=0,"n.a.",AH42/AH25)</x:f>
        <x:v>0.8244872201050338</x:v>
      </x:c>
      <x:c r="AI43" s="121" t="n">
        <x:f>IF(AI25=0,"n.a.",AI42/AI25)</x:f>
        <x:v>0.8303241349794681</x:v>
      </x:c>
      <x:c r="AJ43" s="121" t="n">
        <x:f>IF(AJ25=0,"n.a.",AJ42/AJ25)</x:f>
        <x:v>0.8351313739876722</x:v>
      </x:c>
      <x:c r="AK43" s="121" t="n">
        <x:f>IF(AK25=0,"n.a.",AK42/AK25)</x:f>
        <x:v>0.8391592906185241</x:v>
      </x:c>
      <x:c r="AL43" s="121" t="n">
        <x:f>IF(AL25=0,"n.a.",AL42/AL25)</x:f>
        <x:v>0.8425831620032944</x:v>
      </x:c>
      <x:c r="AM43" s="121" t="n">
        <x:f>IF(AM25=0,"n.a.",AM42/AM25)</x:f>
        <x:v>0.8455293687136292</x:v>
      </x:c>
      <x:c r="AN43" s="121" t="n">
        <x:f>IF(AN25=0,"n.a.",AN42/AN25)</x:f>
        <x:v>0.848091333811725</x:v>
      </x:c>
      <x:c r="AO43" s="121" t="n">
        <x:f>IF(AO25=0,"n.a.",AO42/AO25)</x:f>
        <x:v>0.8089643967262702</x:v>
      </x:c>
      <x:c r="AP43" s="121" t="n">
        <x:f>IF(AP25=0,"n.a.",AP42/AP25)</x:f>
        <x:v>0.8185093207031939</x:v>
      </x:c>
      <x:c r="AQ43" s="121" t="n">
        <x:f>IF(AQ25=0,"n.a.",AQ42/AQ25)</x:f>
        <x:v>0.8259736512497581</x:v>
      </x:c>
      <x:c r="AR43" s="121" t="n">
        <x:f>IF(AR25=0,"n.a.",AR42/AR25)</x:f>
        <x:v>0.8319707773613931</x:v>
      </x:c>
      <x:c r="AS43" s="121" t="n">
        <x:f>IF(AS25=0,"n.a.",AS42/AS25)</x:f>
        <x:v>0.8368945475347342</x:v>
      </x:c>
      <x:c r="AT43" s="121" t="n">
        <x:f>IF(AT25=0,"n.a.",AT42/AT25)</x:f>
        <x:v>0.8410094236995902</x:v>
      </x:c>
      <x:c r="AU43" s="121" t="n">
        <x:f>IF(AU25=0,"n.a.",AU42/AU25)</x:f>
        <x:v>0.8444995810406501</x:v>
      </x:c>
      <x:c r="AV43" s="121" t="n">
        <x:f>IF(AV25=0,"n.a.",AV42/AV25)</x:f>
        <x:v>0.8474972261003706</x:v>
      </x:c>
      <x:c r="AW43" s="121" t="n">
        <x:f>IF(AW25=0,"n.a.",AW42/AW25)</x:f>
        <x:v>0.8500997189092458</x:v>
      </x:c>
      <x:c r="AX43" s="121" t="n">
        <x:f>IF(AX25=0,"n.a.",AX42/AX25)</x:f>
        <x:v>0.852380344126243</x:v>
      </x:c>
      <x:c r="AY43" s="121" t="n">
        <x:f>IF(AY25=0,"n.a.",AY42/AY25)</x:f>
        <x:v>0.8543953195258647</x:v>
      </x:c>
      <x:c r="AZ43" s="121" t="n">
        <x:f>IF(AZ25=0,"n.a.",AZ42/AZ25)</x:f>
        <x:v>0.8561884909275148</x:v>
      </x:c>
      <x:c r="BA43" s="121" t="n">
        <x:f>IF(BA25=0,"n.a.",BA42/BA25)</x:f>
        <x:v>0.8311238804956401</x:v>
      </x:c>
      <x:c r="BB43" s="121" t="n">
        <x:f>IF(BB25=0,"n.a.",BB42/BB25)</x:f>
        <x:v>0.836600185289474</x:v>
      </x:c>
      <x:c r="BC43" s="121" t="n">
        <x:f>IF(BC25=0,"n.a.",BC42/BC25)</x:f>
        <x:v>0.8411401598150532</x:v>
      </x:c>
      <x:c r="BD43" s="121" t="n">
        <x:f>IF(BD25=0,"n.a.",BD42/BD25)</x:f>
        <x:v>0.8449650004303271</x:v>
      </x:c>
      <x:c r="BE43" s="121" t="n">
        <x:f>IF(BE25=0,"n.a.",BE42/BE25)</x:f>
        <x:v>0.8482313159995633</x:v>
      </x:c>
      <x:c r="BF43" s="121" t="n">
        <x:f>IF(BF25=0,"n.a.",BF42/BF25)</x:f>
        <x:v>0.8510530978931673</x:v>
      </x:c>
      <x:c r="BG43" s="121" t="n">
        <x:f>IF(BG25=0,"n.a.",BG42/BG25)</x:f>
        <x:v>0.853515293285147</x:v>
      </x:c>
      <x:c r="BH43" s="121" t="n">
        <x:f>IF(BH25=0,"n.a.",BH42/BH25)</x:f>
        <x:v>0.8556825015305954</x:v>
      </x:c>
      <x:c r="BI43" s="121" t="n">
        <x:f>IF(BI25=0,"n.a.",BI42/BI25)</x:f>
        <x:v>0.8576047224553884</x:v>
      </x:c>
      <x:c r="BJ43" s="121" t="n">
        <x:f>IF(BJ25=0,"n.a.",BJ42/BJ25)</x:f>
        <x:v>0.8593212601782052</x:v>
      </x:c>
      <x:c r="BK43" s="121" t="n">
        <x:f>IF(BK25=0,"n.a.",BK42/BK25)</x:f>
        <x:v>0.8608634378920755</x:v>
      </x:c>
      <x:c r="BL43" s="121" t="n">
        <x:f>IF(BL25=0,"n.a.",BL42/BL25)</x:f>
        <x:v>0.8622565257154746</x:v>
      </x:c>
    </x:row>
    <x:row r="44" ht="23" customHeight="1">
      <x:c r="A44" s="2"/>
      <x:c r="B44" s="2"/>
      <x:c r="C44" s="4" t="str">
        <x:v>Custom delivery COGS</x:v>
      </x:c>
      <x:c r="D44" s="2"/>
      <x:c r="E44" s="69" t="n">
        <x:f>E34*(1-'Assumptions'!E92)</x:f>
        <x:v>61189.102825051064</x:v>
      </x:c>
      <x:c r="F44" s="69" t="n">
        <x:f>F34*(1-'Assumptions'!E92)</x:f>
        <x:v>61189.102825051064</x:v>
      </x:c>
      <x:c r="G44" s="69" t="n">
        <x:f>G34*(1-'Assumptions'!E92)</x:f>
        <x:v>61189.102825051064</x:v>
      </x:c>
      <x:c r="H44" s="69" t="n">
        <x:f>H34*(1-'Assumptions'!E92)</x:f>
        <x:v>61189.102825051064</x:v>
      </x:c>
      <x:c r="I44" s="69" t="n">
        <x:f>I34*(1-'Assumptions'!E92)</x:f>
        <x:v>61189.102825051064</x:v>
      </x:c>
      <x:c r="J44" s="69" t="n">
        <x:f>J34*(1-'Assumptions'!E92)</x:f>
        <x:v>61189.102825051064</x:v>
      </x:c>
      <x:c r="K44" s="69" t="n">
        <x:f>K34*(1-'Assumptions'!E92)</x:f>
        <x:v>61189.102825051064</x:v>
      </x:c>
      <x:c r="L44" s="69" t="n">
        <x:f>L34*(1-'Assumptions'!E92)</x:f>
        <x:v>61189.102825051064</x:v>
      </x:c>
      <x:c r="M44" s="69" t="n">
        <x:f>M34*(1-'Assumptions'!E92)</x:f>
        <x:v>61189.102825051064</x:v>
      </x:c>
      <x:c r="N44" s="69" t="n">
        <x:f>N34*(1-'Assumptions'!E92)</x:f>
        <x:v>61189.102825051064</x:v>
      </x:c>
      <x:c r="O44" s="69" t="n">
        <x:f>O34*(1-'Assumptions'!E92)</x:f>
        <x:v>61189.102825051064</x:v>
      </x:c>
      <x:c r="P44" s="69" t="n">
        <x:f>P34*(1-'Assumptions'!E92)</x:f>
        <x:v>61189.102825051064</x:v>
      </x:c>
      <x:c r="Q44" s="69" t="n">
        <x:f>Q34*(1-'Assumptions'!F92)</x:f>
        <x:v>149877.65565010216</x:v>
      </x:c>
      <x:c r="R44" s="86" t="n">
        <x:f>R34*(1-'Assumptions'!F92)</x:f>
        <x:v>149877.65565010216</x:v>
      </x:c>
      <x:c r="S44" s="86" t="n">
        <x:f>S34*(1-'Assumptions'!F92)</x:f>
        <x:v>149877.65565010216</x:v>
      </x:c>
      <x:c r="T44" s="86" t="n">
        <x:f>T34*(1-'Assumptions'!F92)</x:f>
        <x:v>149877.65565010216</x:v>
      </x:c>
      <x:c r="U44" s="86" t="n">
        <x:f>U34*(1-'Assumptions'!F92)</x:f>
        <x:v>149877.65565010216</x:v>
      </x:c>
      <x:c r="V44" s="86" t="n">
        <x:f>V34*(1-'Assumptions'!F92)</x:f>
        <x:v>149877.65565010216</x:v>
      </x:c>
      <x:c r="W44" s="86" t="n">
        <x:f>W34*(1-'Assumptions'!F92)</x:f>
        <x:v>149877.65565010216</x:v>
      </x:c>
      <x:c r="X44" s="86" t="n">
        <x:f>X34*(1-'Assumptions'!F92)</x:f>
        <x:v>149877.65565010216</x:v>
      </x:c>
      <x:c r="Y44" s="86" t="n">
        <x:f>Y34*(1-'Assumptions'!F92)</x:f>
        <x:v>149877.65565010216</x:v>
      </x:c>
      <x:c r="Z44" s="86" t="n">
        <x:f>Z34*(1-'Assumptions'!F92)</x:f>
        <x:v>149877.65565010216</x:v>
      </x:c>
      <x:c r="AA44" s="86" t="n">
        <x:f>AA34*(1-'Assumptions'!F92)</x:f>
        <x:v>149877.65565010216</x:v>
      </x:c>
      <x:c r="AB44" s="86" t="n">
        <x:f>AB34*(1-'Assumptions'!F92)</x:f>
        <x:v>149877.65565010216</x:v>
      </x:c>
      <x:c r="AC44" s="86" t="n">
        <x:f>AC34*(1-'Assumptions'!G92)</x:f>
        <x:v>272255.86130020424</x:v>
      </x:c>
      <x:c r="AD44" s="86" t="n">
        <x:f>AD34*(1-'Assumptions'!G92)</x:f>
        <x:v>272255.86130020424</x:v>
      </x:c>
      <x:c r="AE44" s="86" t="n">
        <x:f>AE34*(1-'Assumptions'!G92)</x:f>
        <x:v>272255.86130020424</x:v>
      </x:c>
      <x:c r="AF44" s="86" t="n">
        <x:f>AF34*(1-'Assumptions'!G92)</x:f>
        <x:v>272255.86130020424</x:v>
      </x:c>
      <x:c r="AG44" s="86" t="n">
        <x:f>AG34*(1-'Assumptions'!G92)</x:f>
        <x:v>272255.86130020424</x:v>
      </x:c>
      <x:c r="AH44" s="86" t="n">
        <x:f>AH34*(1-'Assumptions'!G92)</x:f>
        <x:v>272255.86130020424</x:v>
      </x:c>
      <x:c r="AI44" s="86" t="n">
        <x:f>AI34*(1-'Assumptions'!G92)</x:f>
        <x:v>272255.86130020424</x:v>
      </x:c>
      <x:c r="AJ44" s="86" t="n">
        <x:f>AJ34*(1-'Assumptions'!G92)</x:f>
        <x:v>272255.86130020424</x:v>
      </x:c>
      <x:c r="AK44" s="86" t="n">
        <x:f>AK34*(1-'Assumptions'!G92)</x:f>
        <x:v>272255.86130020424</x:v>
      </x:c>
      <x:c r="AL44" s="86" t="n">
        <x:f>AL34*(1-'Assumptions'!G92)</x:f>
        <x:v>272255.86130020424</x:v>
      </x:c>
      <x:c r="AM44" s="86" t="n">
        <x:f>AM34*(1-'Assumptions'!G92)</x:f>
        <x:v>272255.86130020424</x:v>
      </x:c>
      <x:c r="AN44" s="86" t="n">
        <x:f>AN34*(1-'Assumptions'!G92)</x:f>
        <x:v>272255.86130020424</x:v>
      </x:c>
      <x:c r="AO44" s="86" t="n">
        <x:f>AO34*(1-'Assumptions'!H92)</x:f>
        <x:v>367134.61695030634</x:v>
      </x:c>
      <x:c r="AP44" s="86" t="n">
        <x:f>AP34*(1-'Assumptions'!H92)</x:f>
        <x:v>367134.61695030634</x:v>
      </x:c>
      <x:c r="AQ44" s="86" t="n">
        <x:f>AQ34*(1-'Assumptions'!H92)</x:f>
        <x:v>367134.61695030634</x:v>
      </x:c>
      <x:c r="AR44" s="86" t="n">
        <x:f>AR34*(1-'Assumptions'!H92)</x:f>
        <x:v>367134.61695030634</x:v>
      </x:c>
      <x:c r="AS44" s="86" t="n">
        <x:f>AS34*(1-'Assumptions'!H92)</x:f>
        <x:v>367134.61695030634</x:v>
      </x:c>
      <x:c r="AT44" s="86" t="n">
        <x:f>AT34*(1-'Assumptions'!H92)</x:f>
        <x:v>367134.61695030634</x:v>
      </x:c>
      <x:c r="AU44" s="86" t="n">
        <x:f>AU34*(1-'Assumptions'!H92)</x:f>
        <x:v>367134.61695030634</x:v>
      </x:c>
      <x:c r="AV44" s="86" t="n">
        <x:f>AV34*(1-'Assumptions'!H92)</x:f>
        <x:v>367134.61695030634</x:v>
      </x:c>
      <x:c r="AW44" s="86" t="n">
        <x:f>AW34*(1-'Assumptions'!H92)</x:f>
        <x:v>367134.61695030634</x:v>
      </x:c>
      <x:c r="AX44" s="86" t="n">
        <x:f>AX34*(1-'Assumptions'!H92)</x:f>
        <x:v>367134.61695030634</x:v>
      </x:c>
      <x:c r="AY44" s="86" t="n">
        <x:f>AY34*(1-'Assumptions'!H92)</x:f>
        <x:v>367134.61695030634</x:v>
      </x:c>
      <x:c r="AZ44" s="86" t="n">
        <x:f>AZ34*(1-'Assumptions'!H92)</x:f>
        <x:v>367134.61695030634</x:v>
      </x:c>
      <x:c r="BA44" s="86" t="n">
        <x:f>BA34*(1-'Assumptions'!I92)</x:f>
        <x:v>489512.8226004085</x:v>
      </x:c>
      <x:c r="BB44" s="86" t="n">
        <x:f>BB34*(1-'Assumptions'!I92)</x:f>
        <x:v>489512.8226004085</x:v>
      </x:c>
      <x:c r="BC44" s="86" t="n">
        <x:f>BC34*(1-'Assumptions'!I92)</x:f>
        <x:v>489512.8226004085</x:v>
      </x:c>
      <x:c r="BD44" s="86" t="n">
        <x:f>BD34*(1-'Assumptions'!I92)</x:f>
        <x:v>489512.8226004085</x:v>
      </x:c>
      <x:c r="BE44" s="86" t="n">
        <x:f>BE34*(1-'Assumptions'!I92)</x:f>
        <x:v>489512.8226004085</x:v>
      </x:c>
      <x:c r="BF44" s="86" t="n">
        <x:f>BF34*(1-'Assumptions'!I92)</x:f>
        <x:v>489512.8226004085</x:v>
      </x:c>
      <x:c r="BG44" s="86" t="n">
        <x:f>BG34*(1-'Assumptions'!I92)</x:f>
        <x:v>489512.8226004085</x:v>
      </x:c>
      <x:c r="BH44" s="86" t="n">
        <x:f>BH34*(1-'Assumptions'!I92)</x:f>
        <x:v>489512.8226004085</x:v>
      </x:c>
      <x:c r="BI44" s="86" t="n">
        <x:f>BI34*(1-'Assumptions'!I92)</x:f>
        <x:v>489512.8226004085</x:v>
      </x:c>
      <x:c r="BJ44" s="86" t="n">
        <x:f>BJ34*(1-'Assumptions'!I92)</x:f>
        <x:v>489512.8226004085</x:v>
      </x:c>
      <x:c r="BK44" s="86" t="n">
        <x:f>BK34*(1-'Assumptions'!I92)</x:f>
        <x:v>489512.8226004085</x:v>
      </x:c>
      <x:c r="BL44" s="86" t="n">
        <x:f>BL34*(1-'Assumptions'!I92)</x:f>
        <x:v>489512.8226004085</x:v>
      </x:c>
    </x:row>
    <x:row r="45" ht="23" customHeight="1">
      <x:c r="A45" s="2"/>
      <x:c r="B45" s="2"/>
      <x:c r="C45" s="4" t="str">
        <x:v>Custom services gross profit</x:v>
      </x:c>
      <x:c r="D45" s="2"/>
      <x:c r="E45" s="67" t="n">
        <x:f>E34-E44</x:f>
        <x:v>50063.811402314495</x:v>
      </x:c>
      <x:c r="F45" s="67" t="n">
        <x:f>F34-F44</x:f>
        <x:v>50063.811402314495</x:v>
      </x:c>
      <x:c r="G45" s="67" t="n">
        <x:f>G34-G44</x:f>
        <x:v>50063.811402314495</x:v>
      </x:c>
      <x:c r="H45" s="67" t="n">
        <x:f>H34-H44</x:f>
        <x:v>50063.811402314495</x:v>
      </x:c>
      <x:c r="I45" s="67" t="n">
        <x:f>I34-I44</x:f>
        <x:v>50063.811402314495</x:v>
      </x:c>
      <x:c r="J45" s="67" t="n">
        <x:f>J34-J44</x:f>
        <x:v>50063.811402314495</x:v>
      </x:c>
      <x:c r="K45" s="67" t="n">
        <x:f>K34-K44</x:f>
        <x:v>50063.811402314495</x:v>
      </x:c>
      <x:c r="L45" s="67" t="n">
        <x:f>L34-L44</x:f>
        <x:v>50063.811402314495</x:v>
      </x:c>
      <x:c r="M45" s="67" t="n">
        <x:f>M34-M44</x:f>
        <x:v>50063.811402314495</x:v>
      </x:c>
      <x:c r="N45" s="67" t="n">
        <x:f>N34-N44</x:f>
        <x:v>50063.811402314495</x:v>
      </x:c>
      <x:c r="O45" s="67" t="n">
        <x:f>O34-O44</x:f>
        <x:v>50063.811402314495</x:v>
      </x:c>
      <x:c r="P45" s="67" t="n">
        <x:f>P34-P44</x:f>
        <x:v>50063.811402314495</x:v>
      </x:c>
      <x:c r="Q45" s="67" t="n">
        <x:f>Q34-Q44</x:f>
        <x:v>122627.172804629</x:v>
      </x:c>
      <x:c r="R45" s="83" t="n">
        <x:f>R34-R44</x:f>
        <x:v>122627.172804629</x:v>
      </x:c>
      <x:c r="S45" s="83" t="n">
        <x:f>S34-S44</x:f>
        <x:v>122627.172804629</x:v>
      </x:c>
      <x:c r="T45" s="83" t="n">
        <x:f>T34-T44</x:f>
        <x:v>122627.172804629</x:v>
      </x:c>
      <x:c r="U45" s="83" t="n">
        <x:f>U34-U44</x:f>
        <x:v>122627.172804629</x:v>
      </x:c>
      <x:c r="V45" s="83" t="n">
        <x:f>V34-V44</x:f>
        <x:v>122627.172804629</x:v>
      </x:c>
      <x:c r="W45" s="83" t="n">
        <x:f>W34-W44</x:f>
        <x:v>122627.172804629</x:v>
      </x:c>
      <x:c r="X45" s="83" t="n">
        <x:f>X34-X44</x:f>
        <x:v>122627.172804629</x:v>
      </x:c>
      <x:c r="Y45" s="83" t="n">
        <x:f>Y34-Y44</x:f>
        <x:v>122627.172804629</x:v>
      </x:c>
      <x:c r="Z45" s="83" t="n">
        <x:f>Z34-Z44</x:f>
        <x:v>122627.172804629</x:v>
      </x:c>
      <x:c r="AA45" s="83" t="n">
        <x:f>AA34-AA44</x:f>
        <x:v>122627.172804629</x:v>
      </x:c>
      <x:c r="AB45" s="83" t="n">
        <x:f>AB34-AB44</x:f>
        <x:v>122627.172804629</x:v>
      </x:c>
      <x:c r="AC45" s="83" t="n">
        <x:f>AC34-AC44</x:f>
        <x:v>222754.795609258</x:v>
      </x:c>
      <x:c r="AD45" s="83" t="n">
        <x:f>AD34-AD44</x:f>
        <x:v>222754.795609258</x:v>
      </x:c>
      <x:c r="AE45" s="83" t="n">
        <x:f>AE34-AE44</x:f>
        <x:v>222754.795609258</x:v>
      </x:c>
      <x:c r="AF45" s="83" t="n">
        <x:f>AF34-AF44</x:f>
        <x:v>222754.795609258</x:v>
      </x:c>
      <x:c r="AG45" s="83" t="n">
        <x:f>AG34-AG44</x:f>
        <x:v>222754.795609258</x:v>
      </x:c>
      <x:c r="AH45" s="83" t="n">
        <x:f>AH34-AH44</x:f>
        <x:v>222754.795609258</x:v>
      </x:c>
      <x:c r="AI45" s="83" t="n">
        <x:f>AI34-AI44</x:f>
        <x:v>222754.795609258</x:v>
      </x:c>
      <x:c r="AJ45" s="83" t="n">
        <x:f>AJ34-AJ44</x:f>
        <x:v>222754.795609258</x:v>
      </x:c>
      <x:c r="AK45" s="83" t="n">
        <x:f>AK34-AK44</x:f>
        <x:v>222754.795609258</x:v>
      </x:c>
      <x:c r="AL45" s="83" t="n">
        <x:f>AL34-AL44</x:f>
        <x:v>222754.795609258</x:v>
      </x:c>
      <x:c r="AM45" s="83" t="n">
        <x:f>AM34-AM44</x:f>
        <x:v>222754.795609258</x:v>
      </x:c>
      <x:c r="AN45" s="83" t="n">
        <x:f>AN34-AN44</x:f>
        <x:v>222754.795609258</x:v>
      </x:c>
      <x:c r="AO45" s="83" t="n">
        <x:f>AO34-AO44</x:f>
        <x:v>300382.868413887</x:v>
      </x:c>
      <x:c r="AP45" s="83" t="n">
        <x:f>AP34-AP44</x:f>
        <x:v>300382.868413887</x:v>
      </x:c>
      <x:c r="AQ45" s="83" t="n">
        <x:f>AQ34-AQ44</x:f>
        <x:v>300382.868413887</x:v>
      </x:c>
      <x:c r="AR45" s="83" t="n">
        <x:f>AR34-AR44</x:f>
        <x:v>300382.868413887</x:v>
      </x:c>
      <x:c r="AS45" s="83" t="n">
        <x:f>AS34-AS44</x:f>
        <x:v>300382.868413887</x:v>
      </x:c>
      <x:c r="AT45" s="83" t="n">
        <x:f>AT34-AT44</x:f>
        <x:v>300382.868413887</x:v>
      </x:c>
      <x:c r="AU45" s="83" t="n">
        <x:f>AU34-AU44</x:f>
        <x:v>300382.868413887</x:v>
      </x:c>
      <x:c r="AV45" s="83" t="n">
        <x:f>AV34-AV44</x:f>
        <x:v>300382.868413887</x:v>
      </x:c>
      <x:c r="AW45" s="83" t="n">
        <x:f>AW34-AW44</x:f>
        <x:v>300382.868413887</x:v>
      </x:c>
      <x:c r="AX45" s="83" t="n">
        <x:f>AX34-AX44</x:f>
        <x:v>300382.868413887</x:v>
      </x:c>
      <x:c r="AY45" s="83" t="n">
        <x:f>AY34-AY44</x:f>
        <x:v>300382.868413887</x:v>
      </x:c>
      <x:c r="AZ45" s="83" t="n">
        <x:f>AZ34-AZ44</x:f>
        <x:v>300382.868413887</x:v>
      </x:c>
      <x:c r="BA45" s="83" t="n">
        <x:f>BA34-BA44</x:f>
        <x:v>400510.49121851596</x:v>
      </x:c>
      <x:c r="BB45" s="83" t="n">
        <x:f>BB34-BB44</x:f>
        <x:v>400510.49121851596</x:v>
      </x:c>
      <x:c r="BC45" s="83" t="n">
        <x:f>BC34-BC44</x:f>
        <x:v>400510.49121851596</x:v>
      </x:c>
      <x:c r="BD45" s="83" t="n">
        <x:f>BD34-BD44</x:f>
        <x:v>400510.49121851596</x:v>
      </x:c>
      <x:c r="BE45" s="83" t="n">
        <x:f>BE34-BE44</x:f>
        <x:v>400510.49121851596</x:v>
      </x:c>
      <x:c r="BF45" s="83" t="n">
        <x:f>BF34-BF44</x:f>
        <x:v>400510.49121851596</x:v>
      </x:c>
      <x:c r="BG45" s="83" t="n">
        <x:f>BG34-BG44</x:f>
        <x:v>400510.49121851596</x:v>
      </x:c>
      <x:c r="BH45" s="83" t="n">
        <x:f>BH34-BH44</x:f>
        <x:v>400510.49121851596</x:v>
      </x:c>
      <x:c r="BI45" s="83" t="n">
        <x:f>BI34-BI44</x:f>
        <x:v>400510.49121851596</x:v>
      </x:c>
      <x:c r="BJ45" s="83" t="n">
        <x:f>BJ34-BJ44</x:f>
        <x:v>400510.49121851596</x:v>
      </x:c>
      <x:c r="BK45" s="83" t="n">
        <x:f>BK34-BK44</x:f>
        <x:v>400510.49121851596</x:v>
      </x:c>
      <x:c r="BL45" s="83" t="n">
        <x:f>BL34-BL44</x:f>
        <x:v>400510.49121851596</x:v>
      </x:c>
    </x:row>
    <x:row r="46" ht="23" customHeight="1">
      <x:c r="A46" s="2"/>
      <x:c r="B46" s="2"/>
      <x:c r="C46" s="106" t="str">
        <x:v>Total gross profit</x:v>
      </x:c>
      <x:c r="D46" s="107"/>
      <x:c r="E46" s="112" t="n">
        <x:f>SUM(E42,E45)</x:f>
        <x:v>26357.08337871567</x:v>
      </x:c>
      <x:c r="F46" s="112" t="n">
        <x:f>SUM(F42,F45)</x:f>
        <x:v>47264.12496101656</x:v>
      </x:c>
      <x:c r="G46" s="112" t="n">
        <x:f>SUM(G42,G45)</x:f>
        <x:v>68012.76671464134</x:v>
      </x:c>
      <x:c r="H46" s="112" t="n">
        <x:f>SUM(H42,H45)</x:f>
        <x:v>88604.21384269153</x:v>
      </x:c>
      <x:c r="I46" s="112" t="n">
        <x:f>SUM(I42,I45)</x:f>
        <x:v>109039.66234061262</x:v>
      </x:c>
      <x:c r="J46" s="112" t="n">
        <x:f>SUM(J42,J45)</x:f>
        <x:v>129320.29906681724</x:v>
      </x:c>
      <x:c r="K46" s="112" t="n">
        <x:f>SUM(K42,K45)</x:f>
        <x:v>149447.30181276536</x:v>
      </x:c>
      <x:c r="L46" s="112" t="n">
        <x:f>SUM(L42,L45)</x:f>
        <x:v>169421.83937250415</x:v>
      </x:c>
      <x:c r="M46" s="112" t="n">
        <x:f>SUM(M42,M45)</x:f>
        <x:v>189245.07161167293</x:v>
      </x:c>
      <x:c r="N46" s="112" t="n">
        <x:f>SUM(N42,N45)</x:f>
        <x:v>208918.149535977</x:v>
      </x:c>
      <x:c r="O46" s="112" t="n">
        <x:f>SUM(O42,O45)</x:f>
        <x:v>228442.21535913378</x:v>
      </x:c>
      <x:c r="P46" s="112" t="n">
        <x:f>SUM(P42,P45)</x:f>
        <x:v>247818.4025702969</x:v>
      </x:c>
      <x:c r="Q46" s="112" t="n">
        <x:f>SUM(Q42,Q45)</x:f>
        <x:v>338175.85818794044</x:v>
      </x:c>
      <x:c r="R46" s="113" t="n">
        <x:f>SUM(R42,R45)</x:f>
        <x:v>479677.7512325308</x:v>
      </x:c>
      <x:c r="S46" s="113" t="n">
        <x:f>SUM(S42,S45)</x:f>
        <x:v>620102.1662379616</x:v>
      </x:c>
      <x:c r="T46" s="113" t="n">
        <x:f>SUM(T42,T45)</x:f>
        <x:v>759457.34126881</x:v>
      </x:c>
      <x:c r="U46" s="113" t="n">
        <x:f>SUM(U42,U45)</x:f>
        <x:v>897751.4511574542</x:v>
      </x:c>
      <x:c r="V46" s="113" t="n">
        <x:f>SUM(V42,V45)</x:f>
        <x:v>1034992.6079912254</x:v>
      </x:c>
      <x:c r="W46" s="113" t="n">
        <x:f>SUM(W42,W45)</x:f>
        <x:v>1171188.8615957934</x:v>
      </x:c>
      <x:c r="X46" s="113" t="n">
        <x:f>SUM(X42,X45)</x:f>
        <x:v>1306348.200014813</x:v>
      </x:c>
      <x:c r="Y46" s="113" t="n">
        <x:f>SUM(Y42,Y45)</x:f>
        <x:v>1440478.5499858663</x:v>
      </x:c>
      <x:c r="Z46" s="113" t="n">
        <x:f>SUM(Z42,Z45)</x:f>
        <x:v>1573587.777412721</x:v>
      </x:c>
      <x:c r="AA46" s="113" t="n">
        <x:f>SUM(AA42,AA45)</x:f>
        <x:v>1705683.687833941</x:v>
      </x:c>
      <x:c r="AB46" s="113" t="n">
        <x:f>SUM(AB42,AB45)</x:f>
        <x:v>1836774.0268878757</x:v>
      </x:c>
      <x:c r="AC46" s="113" t="n">
        <x:f>SUM(AC42,AC45)</x:f>
        <x:v>2098287.3004368157</x:v>
      </x:c>
      <x:c r="AD46" s="113" t="n">
        <x:f>SUM(AD42,AD45)</x:f>
        <x:v>2595965.4194057123</x:v>
      </x:c>
      <x:c r="AE46" s="113" t="n">
        <x:f>SUM(AE42,AE45)</x:f>
        <x:v>3089872.1032299814</x:v>
      </x:c>
      <x:c r="AF46" s="113" t="n">
        <x:f>SUM(AF42,AF45)</x:f>
        <x:v>3580036.053462132</x:v>
      </x:c>
      <x:c r="AG46" s="113" t="n">
        <x:f>SUM(AG42,AG45)</x:f>
        <x:v>4066485.7523317495</x:v>
      </x:c>
      <x:c r="AH46" s="113" t="n">
        <x:f>SUM(AH42,AH45)</x:f>
        <x:v>4549249.46442806</x:v>
      </x:c>
      <x:c r="AI46" s="113" t="n">
        <x:f>SUM(AI42,AI45)</x:f>
        <x:v>5028355.238369526</x:v>
      </x:c>
      <x:c r="AJ46" s="113" t="n">
        <x:f>SUM(AJ42,AJ45)</x:f>
        <x:v>5503830.908460595</x:v>
      </x:c>
      <x:c r="AK46" s="113" t="n">
        <x:f>SUM(AK42,AK45)</x:f>
        <x:v>5975704.096335679</x:v>
      </x:c>
      <x:c r="AL46" s="113" t="n">
        <x:f>SUM(AL42,AL45)</x:f>
        <x:v>6444002.212590495</x:v>
      </x:c>
      <x:c r="AM46" s="113" t="n">
        <x:f>SUM(AM42,AM45)</x:f>
        <x:v>6908752.458400826</x:v>
      </x:c>
      <x:c r="AN46" s="113" t="n">
        <x:f>SUM(AN42,AN45)</x:f>
        <x:v>7369981.827128826</x:v>
      </x:c>
      <x:c r="AO46" s="113" t="n">
        <x:f>SUM(AO42,AO45)</x:f>
        <x:v>8055905.8449036665</x:v>
      </x:c>
      <x:c r="AP46" s="113" t="n">
        <x:f>SUM(AP42,AP45)</x:f>
        <x:v>9207071.156659607</x:v>
      </x:c>
      <x:c r="AQ46" s="113" t="n">
        <x:f>SUM(AQ42,AQ45)</x:f>
        <x:v>10349450.741921552</x:v>
      </x:c>
      <x:c r="AR46" s="113" t="n">
        <x:f>SUM(AR42,AR45)</x:f>
        <x:v>11483111.92132945</x:v>
      </x:c>
      <x:c r="AS46" s="113" t="n">
        <x:f>SUM(AS42,AS45)</x:f>
        <x:v>12608121.49771434</x:v>
      </x:c>
      <x:c r="AT46" s="113" t="n">
        <x:f>SUM(AT42,AT45)</x:f>
        <x:v>13724545.760095522</x:v>
      </x:c>
      <x:c r="AU46" s="113" t="n">
        <x:f>SUM(AU42,AU45)</x:f>
        <x:v>14832450.487646773</x:v>
      </x:c>
      <x:c r="AV46" s="113" t="n">
        <x:f>SUM(AV42,AV45)</x:f>
        <x:v>15931900.953631844</x:v>
      </x:c>
      <x:c r="AW46" s="113" t="n">
        <x:f>SUM(AW42,AW45)</x:f>
        <x:v>17022961.929309487</x:v>
      </x:c>
      <x:c r="AX46" s="113" t="n">
        <x:f>SUM(AX42,AX45)</x:f>
        <x:v>18105697.687808223</x:v>
      </x:c>
      <x:c r="AY46" s="113" t="n">
        <x:f>SUM(AY42,AY45)</x:f>
        <x:v>19180172.007971093</x:v>
      </x:c>
      <x:c r="AZ46" s="113" t="n">
        <x:f>SUM(AZ42,AZ45)</x:f>
        <x:v>20246448.178170662</x:v>
      </x:c>
      <x:c r="BA46" s="113" t="n">
        <x:f>SUM(BA42,BA45)</x:f>
        <x:v>21878349.73188255</x:v>
      </x:c>
      <x:c r="BB46" s="113" t="n">
        <x:f>SUM(BB42,BB45)</x:f>
        <x:v>24158708.845057253</x:v>
      </x:c>
      <x:c r="BC46" s="113" t="n">
        <x:f>SUM(BC42,BC45)</x:f>
        <x:v>26421639.84901473</x:v>
      </x:c>
      <x:c r="BD46" s="113" t="n">
        <x:f>SUM(BD42,BD45)</x:f>
        <x:v>28667276.465282917</x:v>
      </x:c>
      <x:c r="BE46" s="113" t="n">
        <x:f>SUM(BE42,BE45)</x:f>
        <x:v>30895751.38554091</x:v>
      </x:c>
      <x:c r="BF46" s="113" t="n">
        <x:f>SUM(BF42,BF45)</x:f>
        <x:v>33107196.279578365</x:v>
      </x:c>
      <x:c r="BG46" s="113" t="n">
        <x:f>SUM(BG42,BG45)</x:f>
        <x:v>35301741.803193055</x:v>
      </x:c>
      <x:c r="BH46" s="113" t="n">
        <x:f>SUM(BH42,BH45)</x:f>
        <x:v>37479517.60602725</x:v>
      </x:c>
      <x:c r="BI46" s="113" t="n">
        <x:f>SUM(BI42,BI45)</x:f>
        <x:v>39640652.33934333</x:v>
      </x:c>
      <x:c r="BJ46" s="113" t="n">
        <x:f>SUM(BJ42,BJ45)</x:f>
        <x:v>41785273.66373913</x:v>
      </x:c>
      <x:c r="BK46" s="113" t="n">
        <x:f>SUM(BK42,BK45)</x:f>
        <x:v>43913508.25680337</x:v>
      </x:c>
      <x:c r="BL46" s="113" t="n">
        <x:f>SUM(BL42,BL45)</x:f>
        <x:v>46025481.82071186</x:v>
      </x:c>
    </x:row>
    <x:row r="47" ht="23" customHeight="1">
      <x:c r="A47" s="2"/>
      <x:c r="B47" s="2"/>
      <x:c r="C47" s="118" t="str">
        <x:v>Total gross margin</x:v>
      </x:c>
      <x:c r="D47" s="119"/>
      <x:c r="E47" s="120" t="n">
        <x:f>IF(E35=0,"n.a.",E46/E35)</x:f>
        <x:v>0.21393241117909959</x:v>
      </x:c>
      <x:c r="F47" s="120" t="n">
        <x:f>IF(F35=0,"n.a.",F46/F35)</x:f>
        <x:v>0.3214981426665417</x:v>
      </x:c>
      <x:c r="G47" s="120" t="n">
        <x:f>IF(G35=0,"n.a.",G46/G35)</x:f>
        <x:v>0.39857253959467415</x:v>
      </x:c>
      <x:c r="H47" s="120" t="n">
        <x:f>IF(H35=0,"n.a.",H46/H35)</x:f>
        <x:v>0.4565098450699288</x:v>
      </x:c>
      <x:c r="I47" s="120" t="n">
        <x:f>IF(I35=0,"n.a.",I46/I35)</x:f>
        <x:v>0.5016493823805824</x:v>
      </x:c>
      <x:c r="J47" s="120" t="n">
        <x:f>IF(J35=0,"n.a.",J46/J35)</x:f>
        <x:v>0.5378089594519263</x:v>
      </x:c>
      <x:c r="K47" s="120" t="n">
        <x:f>IF(K35=0,"n.a.",K46/K35)</x:f>
        <x:v>0.5674251686197747</x:v>
      </x:c>
      <x:c r="L47" s="120" t="n">
        <x:f>IF(L35=0,"n.a.",L46/L35)</x:f>
        <x:v>0.5921262022990251</x:v>
      </x:c>
      <x:c r="M47" s="120" t="n">
        <x:f>IF(M35=0,"n.a.",M46/M35)</x:f>
        <x:v>0.6130414336281705</x:v>
      </x:c>
      <x:c r="N47" s="120" t="n">
        <x:f>IF(N35=0,"n.a.",N46/N35)</x:f>
        <x:v>0.6309788517735421</x:v>
      </x:c>
      <x:c r="O47" s="120" t="n">
        <x:f>IF(O35=0,"n.a.",O46/O35)</x:f>
        <x:v>0.6465317888365244</x:v>
      </x:c>
      <x:c r="P47" s="120" t="n">
        <x:f>IF(P35=0,"n.a.",P46/P35)</x:f>
        <x:v>0.660145764681445</x:v>
      </x:c>
      <x:c r="Q47" s="120" t="n">
        <x:f>IF(Q35=0,"n.a.",Q46/Q35)</x:f>
        <x:v>0.5275012247844933</x:v>
      </x:c>
      <x:c r="R47" s="121" t="n">
        <x:f>IF(R35=0,"n.a.",R46/R35)</x:f>
        <x:v>0.5986011084821673</x:v>
      </x:c>
      <x:c r="S47" s="121" t="n">
        <x:f>IF(S35=0,"n.a.",S46/S35)</x:f>
        <x:v>0.6457034467612174</x:v>
      </x:c>
      <x:c r="T47" s="121" t="n">
        <x:f>IF(T35=0,"n.a.",T46/T35)</x:f>
        <x:v>0.6792028096691092</x:v>
      </x:c>
      <x:c r="U47" s="121" t="n">
        <x:f>IF(U35=0,"n.a.",U46/U35)</x:f>
        <x:v>0.7042479477544562</x:v>
      </x:c>
      <x:c r="V47" s="121" t="n">
        <x:f>IF(V35=0,"n.a.",V46/V35)</x:f>
        <x:v>0.7236803026293815</x:v>
      </x:c>
      <x:c r="W47" s="121" t="n">
        <x:f>IF(W35=0,"n.a.",W46/W35)</x:f>
        <x:v>0.7391962640300607</x:v>
      </x:c>
      <x:c r="X47" s="121" t="n">
        <x:f>IF(X35=0,"n.a.",X46/X35)</x:f>
        <x:v>0.7518711738347664</x:v>
      </x:c>
      <x:c r="Y47" s="121" t="n">
        <x:f>IF(Y35=0,"n.a.",Y46/Y35)</x:f>
        <x:v>0.7624197020091901</x:v>
      </x:c>
      <x:c r="Z47" s="121" t="n">
        <x:f>IF(Z35=0,"n.a.",Z46/Z35)</x:f>
        <x:v>0.7713353609056732</x:v>
      </x:c>
      <x:c r="AA47" s="121" t="n">
        <x:f>IF(AA35=0,"n.a.",AA46/AA35)</x:f>
        <x:v>0.7789699099277354</x:v>
      </x:c>
      <x:c r="AB47" s="121" t="n">
        <x:f>IF(AB35=0,"n.a.",AB46/AB35)</x:f>
        <x:v>0.785580840825299</x:v>
      </x:c>
      <x:c r="AC47" s="121" t="n">
        <x:f>IF(AC35=0,"n.a.",AC46/AC35)</x:f>
        <x:v>0.704273720703545</x:v>
      </x:c>
      <x:c r="AD47" s="121" t="n">
        <x:f>IF(AD35=0,"n.a.",AD46/AD35)</x:f>
        <x:v>0.7332330796719811</x:v>
      </x:c>
      <x:c r="AE47" s="121" t="n">
        <x:f>IF(AE35=0,"n.a.",AE46/AE35)</x:f>
        <x:v>0.7541320901577497</x:v>
      </x:c>
      <x:c r="AF47" s="121" t="n">
        <x:f>IF(AF35=0,"n.a.",AF46/AF35)</x:f>
        <x:v>0.7699246233118698</x:v>
      </x:c>
      <x:c r="AG47" s="121" t="n">
        <x:f>IF(AG35=0,"n.a.",AG46/AG35)</x:f>
        <x:v>0.7822783315725337</x:v>
      </x:c>
      <x:c r="AH47" s="121" t="n">
        <x:f>IF(AH35=0,"n.a.",AH46/AH35)</x:f>
        <x:v>0.792206001150222</x:v>
      </x:c>
      <x:c r="AI47" s="121" t="n">
        <x:f>IF(AI35=0,"n.a.",AI46/AI35)</x:f>
        <x:v>0.8003582632338633</x:v>
      </x:c>
      <x:c r="AJ47" s="121" t="n">
        <x:f>IF(AJ35=0,"n.a.",AJ46/AJ35)</x:f>
        <x:v>0.8071721860496578</x:v>
      </x:c>
      <x:c r="AK47" s="121" t="n">
        <x:f>IF(AK35=0,"n.a.",AK46/AK35)</x:f>
        <x:v>0.8129522544775204</x:v>
      </x:c>
      <x:c r="AL47" s="121" t="n">
        <x:f>IF(AL35=0,"n.a.",AL46/AL35)</x:f>
        <x:v>0.8179170996845528</x:v>
      </x:c>
      <x:c r="AM47" s="121" t="n">
        <x:f>IF(AM35=0,"n.a.",AM46/AM35)</x:f>
        <x:v>0.8222277661093577</x:v>
      </x:c>
      <x:c r="AN47" s="121" t="n">
        <x:f>IF(AN35=0,"n.a.",AN46/AN35)</x:f>
        <x:v>0.8260055002782016</x:v>
      </x:c>
      <x:c r="AO47" s="121" t="n">
        <x:f>IF(AO35=0,"n.a.",AO46/AO35)</x:f>
        <x:v>0.7855975682255244</x:v>
      </x:c>
      <x:c r="AP47" s="121" t="n">
        <x:f>IF(AP35=0,"n.a.",AP46/AP35)</x:f>
        <x:v>0.7972101619930543</x:v>
      </x:c>
      <x:c r="AQ47" s="121" t="n">
        <x:f>IF(AQ35=0,"n.a.",AQ46/AQ35)</x:f>
        <x:v>0.8064184095484529</x:v>
      </x:c>
      <x:c r="AR47" s="121" t="n">
        <x:f>IF(AR35=0,"n.a.",AR46/AR35)</x:f>
        <x:v>0.8138988846148286</x:v>
      </x:c>
      <x:c r="AS47" s="121" t="n">
        <x:f>IF(AS35=0,"n.a.",AS46/AS35)</x:f>
        <x:v>0.8200960821959519</x:v>
      </x:c>
      <x:c r="AT47" s="121" t="n">
        <x:f>IF(AT35=0,"n.a.",AT46/AT35)</x:f>
        <x:v>0.8253140688232636</x:v>
      </x:c>
      <x:c r="AU47" s="121" t="n">
        <x:f>IF(AU35=0,"n.a.",AU46/AU35)</x:f>
        <x:v>0.8297678797343471</x:v>
      </x:c>
      <x:c r="AV47" s="121" t="n">
        <x:f>IF(AV35=0,"n.a.",AV46/AV35)</x:f>
        <x:v>0.8336138819597843</x:v>
      </x:c>
      <x:c r="AW47" s="121" t="n">
        <x:f>IF(AW35=0,"n.a.",AW46/AW35)</x:f>
        <x:v>0.8369685048658063</x:v>
      </x:c>
      <x:c r="AX47" s="121" t="n">
        <x:f>IF(AX35=0,"n.a.",AX46/AX35)</x:f>
        <x:v>0.8399202254515679</x:v>
      </x:c>
      <x:c r="AY47" s="121" t="n">
        <x:f>IF(AY35=0,"n.a.",AY46/AY35)</x:f>
        <x:v>0.8425374818867591</x:v>
      </x:c>
      <x:c r="AZ47" s="121" t="n">
        <x:f>IF(AZ35=0,"n.a.",AZ46/AZ35)</x:f>
        <x:v>0.8448740426543275</x:v>
      </x:c>
      <x:c r="BA47" s="121" t="n">
        <x:f>IF(BA35=0,"n.a.",BA46/BA35)</x:f>
        <x:v>0.818434600920831</x:v>
      </x:c>
      <x:c r="BB47" s="121" t="n">
        <x:f>IF(BB35=0,"n.a.",BB46/BB35)</x:f>
        <x:v>0.8248521342825827</x:v>
      </x:c>
      <x:c r="BC47" s="121" t="n">
        <x:f>IF(BC35=0,"n.a.",BC46/BC35)</x:f>
        <x:v>0.8302016635541144</x:v>
      </x:c>
      <x:c r="BD47" s="121" t="n">
        <x:f>IF(BD35=0,"n.a.",BD46/BD35)</x:f>
        <x:v>0.834729261536274</x:v>
      </x:c>
      <x:c r="BE47" s="121" t="n">
        <x:f>IF(BE35=0,"n.a.",BE46/BE35)</x:f>
        <x:v>0.8386107974782222</x:v>
      </x:c>
      <x:c r="BF47" s="121" t="n">
        <x:f>IF(BF35=0,"n.a.",BF46/BF35)</x:f>
        <x:v>0.8419753062738996</x:v>
      </x:c>
      <x:c r="BG47" s="121" t="n">
        <x:f>IF(BG35=0,"n.a.",BG46/BG35)</x:f>
        <x:v>0.844919605440993</x:v>
      </x:c>
      <x:c r="BH47" s="121" t="n">
        <x:f>IF(BH35=0,"n.a.",BH46/BH35)</x:f>
        <x:v>0.8475177593893501</x:v>
      </x:c>
      <x:c r="BI47" s="121" t="n">
        <x:f>IF(BI35=0,"n.a.",BI46/BI35)</x:f>
        <x:v>0.8498273925276472</x:v>
      </x:c>
      <x:c r="BJ47" s="121" t="n">
        <x:f>IF(BJ35=0,"n.a.",BJ46/BJ35)</x:f>
        <x:v>0.8518940109094383</x:v>
      </x:c>
      <x:c r="BK47" s="121" t="n">
        <x:f>IF(BK35=0,"n.a.",BK46/BK35)</x:f>
        <x:v>0.8537540287149926</x:v>
      </x:c>
      <x:c r="BL47" s="121" t="n">
        <x:f>IF(BL35=0,"n.a.",BL46/BL35)</x:f>
        <x:v>0.8554369308686404</x:v>
      </x:c>
    </x:row>
    <x:row r="48" ht="23" customHeight="1">
      <x:c r="A48" s="2"/>
      <x:c r="B48" s="2"/>
      <x:c r="C48" s="20" t="str">
        <x:v>Acquisition and central costs</x:v>
      </x:c>
      <x:c r="D48" s="21"/>
      <x:c r="E48" s="21"/>
      <x:c r="F48" s="21"/>
      <x:c r="G48" s="21"/>
      <x:c r="H48" s="21"/>
      <x:c r="I48" s="21"/>
      <x:c r="J48" s="21"/>
      <x:c r="K48" s="21"/>
      <x:c r="L48" s="21"/>
      <x:c r="M48" s="21"/>
      <x:c r="N48" s="21"/>
      <x:c r="O48" s="21"/>
      <x:c r="P48" s="21"/>
      <x:c r="Q48" s="21"/>
      <x:c r="R48" s="62"/>
      <x:c r="S48" s="62"/>
      <x:c r="T48" s="62"/>
      <x:c r="U48" s="62"/>
      <x:c r="V48" s="62"/>
      <x:c r="W48" s="62"/>
      <x:c r="X48" s="62"/>
      <x:c r="Y48" s="62"/>
      <x:c r="Z48" s="62"/>
      <x:c r="AA48" s="62"/>
      <x:c r="AB48" s="62"/>
      <x:c r="AC48" s="62"/>
      <x:c r="AD48" s="62"/>
      <x:c r="AE48" s="62"/>
      <x:c r="AF48" s="62"/>
      <x:c r="AG48" s="62"/>
      <x:c r="AH48" s="62"/>
      <x:c r="AI48" s="62"/>
      <x:c r="AJ48" s="62"/>
      <x:c r="AK48" s="62"/>
      <x:c r="AL48" s="62"/>
      <x:c r="AM48" s="62"/>
      <x:c r="AN48" s="62"/>
      <x:c r="AO48" s="62"/>
      <x:c r="AP48" s="62"/>
      <x:c r="AQ48" s="62"/>
      <x:c r="AR48" s="62"/>
      <x:c r="AS48" s="62"/>
      <x:c r="AT48" s="62"/>
      <x:c r="AU48" s="62"/>
      <x:c r="AV48" s="62"/>
      <x:c r="AW48" s="62"/>
      <x:c r="AX48" s="62"/>
      <x:c r="AY48" s="62"/>
      <x:c r="AZ48" s="62"/>
      <x:c r="BA48" s="62"/>
      <x:c r="BB48" s="62"/>
      <x:c r="BC48" s="62"/>
      <x:c r="BD48" s="62"/>
      <x:c r="BE48" s="62"/>
      <x:c r="BF48" s="62"/>
      <x:c r="BG48" s="62"/>
      <x:c r="BH48" s="62"/>
      <x:c r="BI48" s="62"/>
      <x:c r="BJ48" s="62"/>
      <x:c r="BK48" s="62"/>
      <x:c r="BL48" s="62"/>
    </x:row>
    <x:row r="49" ht="23" customHeight="1">
      <x:c r="A49" s="2"/>
      <x:c r="B49" s="2"/>
      <x:c r="C49" s="4" t="str">
        <x:v>India CAC (INR / new outlet)</x:v>
      </x:c>
      <x:c r="D49" s="2"/>
      <x:c r="E49" s="66" t="n">
        <x:f>'Assumptions'!E60</x:f>
        <x:v>6000</x:v>
      </x:c>
      <x:c r="F49" s="66" t="n">
        <x:f>'Assumptions'!E60</x:f>
        <x:v>6000</x:v>
      </x:c>
      <x:c r="G49" s="66" t="n">
        <x:f>'Assumptions'!E60</x:f>
        <x:v>6000</x:v>
      </x:c>
      <x:c r="H49" s="66" t="n">
        <x:f>'Assumptions'!E60</x:f>
        <x:v>6000</x:v>
      </x:c>
      <x:c r="I49" s="66" t="n">
        <x:f>'Assumptions'!E60</x:f>
        <x:v>6000</x:v>
      </x:c>
      <x:c r="J49" s="66" t="n">
        <x:f>'Assumptions'!E60</x:f>
        <x:v>6000</x:v>
      </x:c>
      <x:c r="K49" s="66" t="n">
        <x:f>'Assumptions'!E60</x:f>
        <x:v>6000</x:v>
      </x:c>
      <x:c r="L49" s="66" t="n">
        <x:f>'Assumptions'!E60</x:f>
        <x:v>6000</x:v>
      </x:c>
      <x:c r="M49" s="66" t="n">
        <x:f>'Assumptions'!E60</x:f>
        <x:v>6000</x:v>
      </x:c>
      <x:c r="N49" s="66" t="n">
        <x:f>'Assumptions'!E60</x:f>
        <x:v>6000</x:v>
      </x:c>
      <x:c r="O49" s="66" t="n">
        <x:f>'Assumptions'!E60</x:f>
        <x:v>6000</x:v>
      </x:c>
      <x:c r="P49" s="66" t="n">
        <x:f>'Assumptions'!E60</x:f>
        <x:v>6000</x:v>
      </x:c>
      <x:c r="Q49" s="66" t="n">
        <x:f>'Assumptions'!F60</x:f>
        <x:v>6500</x:v>
      </x:c>
      <x:c r="R49" s="81" t="n">
        <x:f>'Assumptions'!F60</x:f>
        <x:v>6500</x:v>
      </x:c>
      <x:c r="S49" s="81" t="n">
        <x:f>'Assumptions'!F60</x:f>
        <x:v>6500</x:v>
      </x:c>
      <x:c r="T49" s="81" t="n">
        <x:f>'Assumptions'!F60</x:f>
        <x:v>6500</x:v>
      </x:c>
      <x:c r="U49" s="81" t="n">
        <x:f>'Assumptions'!F60</x:f>
        <x:v>6500</x:v>
      </x:c>
      <x:c r="V49" s="81" t="n">
        <x:f>'Assumptions'!F60</x:f>
        <x:v>6500</x:v>
      </x:c>
      <x:c r="W49" s="81" t="n">
        <x:f>'Assumptions'!F60</x:f>
        <x:v>6500</x:v>
      </x:c>
      <x:c r="X49" s="81" t="n">
        <x:f>'Assumptions'!F60</x:f>
        <x:v>6500</x:v>
      </x:c>
      <x:c r="Y49" s="81" t="n">
        <x:f>'Assumptions'!F60</x:f>
        <x:v>6500</x:v>
      </x:c>
      <x:c r="Z49" s="81" t="n">
        <x:f>'Assumptions'!F60</x:f>
        <x:v>6500</x:v>
      </x:c>
      <x:c r="AA49" s="81" t="n">
        <x:f>'Assumptions'!F60</x:f>
        <x:v>6500</x:v>
      </x:c>
      <x:c r="AB49" s="81" t="n">
        <x:f>'Assumptions'!F60</x:f>
        <x:v>6500</x:v>
      </x:c>
      <x:c r="AC49" s="81" t="n">
        <x:f>'Assumptions'!G60</x:f>
        <x:v>7000</x:v>
      </x:c>
      <x:c r="AD49" s="81" t="n">
        <x:f>'Assumptions'!G60</x:f>
        <x:v>7000</x:v>
      </x:c>
      <x:c r="AE49" s="81" t="n">
        <x:f>'Assumptions'!G60</x:f>
        <x:v>7000</x:v>
      </x:c>
      <x:c r="AF49" s="81" t="n">
        <x:f>'Assumptions'!G60</x:f>
        <x:v>7000</x:v>
      </x:c>
      <x:c r="AG49" s="81" t="n">
        <x:f>'Assumptions'!G60</x:f>
        <x:v>7000</x:v>
      </x:c>
      <x:c r="AH49" s="81" t="n">
        <x:f>'Assumptions'!G60</x:f>
        <x:v>7000</x:v>
      </x:c>
      <x:c r="AI49" s="81" t="n">
        <x:f>'Assumptions'!G60</x:f>
        <x:v>7000</x:v>
      </x:c>
      <x:c r="AJ49" s="81" t="n">
        <x:f>'Assumptions'!G60</x:f>
        <x:v>7000</x:v>
      </x:c>
      <x:c r="AK49" s="81" t="n">
        <x:f>'Assumptions'!G60</x:f>
        <x:v>7000</x:v>
      </x:c>
      <x:c r="AL49" s="81" t="n">
        <x:f>'Assumptions'!G60</x:f>
        <x:v>7000</x:v>
      </x:c>
      <x:c r="AM49" s="81" t="n">
        <x:f>'Assumptions'!G60</x:f>
        <x:v>7000</x:v>
      </x:c>
      <x:c r="AN49" s="81" t="n">
        <x:f>'Assumptions'!G60</x:f>
        <x:v>7000</x:v>
      </x:c>
      <x:c r="AO49" s="81" t="n">
        <x:f>'Assumptions'!H60</x:f>
        <x:v>8000</x:v>
      </x:c>
      <x:c r="AP49" s="81" t="n">
        <x:f>'Assumptions'!H60</x:f>
        <x:v>8000</x:v>
      </x:c>
      <x:c r="AQ49" s="81" t="n">
        <x:f>'Assumptions'!H60</x:f>
        <x:v>8000</x:v>
      </x:c>
      <x:c r="AR49" s="81" t="n">
        <x:f>'Assumptions'!H60</x:f>
        <x:v>8000</x:v>
      </x:c>
      <x:c r="AS49" s="81" t="n">
        <x:f>'Assumptions'!H60</x:f>
        <x:v>8000</x:v>
      </x:c>
      <x:c r="AT49" s="81" t="n">
        <x:f>'Assumptions'!H60</x:f>
        <x:v>8000</x:v>
      </x:c>
      <x:c r="AU49" s="81" t="n">
        <x:f>'Assumptions'!H60</x:f>
        <x:v>8000</x:v>
      </x:c>
      <x:c r="AV49" s="81" t="n">
        <x:f>'Assumptions'!H60</x:f>
        <x:v>8000</x:v>
      </x:c>
      <x:c r="AW49" s="81" t="n">
        <x:f>'Assumptions'!H60</x:f>
        <x:v>8000</x:v>
      </x:c>
      <x:c r="AX49" s="81" t="n">
        <x:f>'Assumptions'!H60</x:f>
        <x:v>8000</x:v>
      </x:c>
      <x:c r="AY49" s="81" t="n">
        <x:f>'Assumptions'!H60</x:f>
        <x:v>8000</x:v>
      </x:c>
      <x:c r="AZ49" s="81" t="n">
        <x:f>'Assumptions'!H60</x:f>
        <x:v>8000</x:v>
      </x:c>
      <x:c r="BA49" s="81" t="n">
        <x:f>'Assumptions'!I60</x:f>
        <x:v>9000</x:v>
      </x:c>
      <x:c r="BB49" s="81" t="n">
        <x:f>'Assumptions'!I60</x:f>
        <x:v>9000</x:v>
      </x:c>
      <x:c r="BC49" s="81" t="n">
        <x:f>'Assumptions'!I60</x:f>
        <x:v>9000</x:v>
      </x:c>
      <x:c r="BD49" s="81" t="n">
        <x:f>'Assumptions'!I60</x:f>
        <x:v>9000</x:v>
      </x:c>
      <x:c r="BE49" s="81" t="n">
        <x:f>'Assumptions'!I60</x:f>
        <x:v>9000</x:v>
      </x:c>
      <x:c r="BF49" s="81" t="n">
        <x:f>'Assumptions'!I60</x:f>
        <x:v>9000</x:v>
      </x:c>
      <x:c r="BG49" s="81" t="n">
        <x:f>'Assumptions'!I60</x:f>
        <x:v>9000</x:v>
      </x:c>
      <x:c r="BH49" s="81" t="n">
        <x:f>'Assumptions'!I60</x:f>
        <x:v>9000</x:v>
      </x:c>
      <x:c r="BI49" s="81" t="n">
        <x:f>'Assumptions'!I60</x:f>
        <x:v>9000</x:v>
      </x:c>
      <x:c r="BJ49" s="81" t="n">
        <x:f>'Assumptions'!I60</x:f>
        <x:v>9000</x:v>
      </x:c>
      <x:c r="BK49" s="81" t="n">
        <x:f>'Assumptions'!I60</x:f>
        <x:v>9000</x:v>
      </x:c>
      <x:c r="BL49" s="81" t="n">
        <x:f>'Assumptions'!I60</x:f>
        <x:v>9000</x:v>
      </x:c>
    </x:row>
    <x:row r="50" ht="23" customHeight="1">
      <x:c r="A50" s="2"/>
      <x:c r="B50" s="2"/>
      <x:c r="C50" s="4" t="str">
        <x:v>UAE CAC (AED / new outlet)</x:v>
      </x:c>
      <x:c r="D50" s="2"/>
      <x:c r="E50" s="66" t="n">
        <x:f>'Assumptions'!E64</x:f>
        <x:v>700</x:v>
      </x:c>
      <x:c r="F50" s="66" t="n">
        <x:f>'Assumptions'!E64</x:f>
        <x:v>700</x:v>
      </x:c>
      <x:c r="G50" s="66" t="n">
        <x:f>'Assumptions'!E64</x:f>
        <x:v>700</x:v>
      </x:c>
      <x:c r="H50" s="66" t="n">
        <x:f>'Assumptions'!E64</x:f>
        <x:v>700</x:v>
      </x:c>
      <x:c r="I50" s="66" t="n">
        <x:f>'Assumptions'!E64</x:f>
        <x:v>700</x:v>
      </x:c>
      <x:c r="J50" s="66" t="n">
        <x:f>'Assumptions'!E64</x:f>
        <x:v>700</x:v>
      </x:c>
      <x:c r="K50" s="66" t="n">
        <x:f>'Assumptions'!E64</x:f>
        <x:v>700</x:v>
      </x:c>
      <x:c r="L50" s="66" t="n">
        <x:f>'Assumptions'!E64</x:f>
        <x:v>700</x:v>
      </x:c>
      <x:c r="M50" s="66" t="n">
        <x:f>'Assumptions'!E64</x:f>
        <x:v>700</x:v>
      </x:c>
      <x:c r="N50" s="66" t="n">
        <x:f>'Assumptions'!E64</x:f>
        <x:v>700</x:v>
      </x:c>
      <x:c r="O50" s="66" t="n">
        <x:f>'Assumptions'!E64</x:f>
        <x:v>700</x:v>
      </x:c>
      <x:c r="P50" s="66" t="n">
        <x:f>'Assumptions'!E64</x:f>
        <x:v>700</x:v>
      </x:c>
      <x:c r="Q50" s="66" t="n">
        <x:f>'Assumptions'!F64</x:f>
        <x:v>750</x:v>
      </x:c>
      <x:c r="R50" s="81" t="n">
        <x:f>'Assumptions'!F64</x:f>
        <x:v>750</x:v>
      </x:c>
      <x:c r="S50" s="81" t="n">
        <x:f>'Assumptions'!F64</x:f>
        <x:v>750</x:v>
      </x:c>
      <x:c r="T50" s="81" t="n">
        <x:f>'Assumptions'!F64</x:f>
        <x:v>750</x:v>
      </x:c>
      <x:c r="U50" s="81" t="n">
        <x:f>'Assumptions'!F64</x:f>
        <x:v>750</x:v>
      </x:c>
      <x:c r="V50" s="81" t="n">
        <x:f>'Assumptions'!F64</x:f>
        <x:v>750</x:v>
      </x:c>
      <x:c r="W50" s="81" t="n">
        <x:f>'Assumptions'!F64</x:f>
        <x:v>750</x:v>
      </x:c>
      <x:c r="X50" s="81" t="n">
        <x:f>'Assumptions'!F64</x:f>
        <x:v>750</x:v>
      </x:c>
      <x:c r="Y50" s="81" t="n">
        <x:f>'Assumptions'!F64</x:f>
        <x:v>750</x:v>
      </x:c>
      <x:c r="Z50" s="81" t="n">
        <x:f>'Assumptions'!F64</x:f>
        <x:v>750</x:v>
      </x:c>
      <x:c r="AA50" s="81" t="n">
        <x:f>'Assumptions'!F64</x:f>
        <x:v>750</x:v>
      </x:c>
      <x:c r="AB50" s="81" t="n">
        <x:f>'Assumptions'!F64</x:f>
        <x:v>750</x:v>
      </x:c>
      <x:c r="AC50" s="81" t="n">
        <x:f>'Assumptions'!G64</x:f>
        <x:v>800</x:v>
      </x:c>
      <x:c r="AD50" s="81" t="n">
        <x:f>'Assumptions'!G64</x:f>
        <x:v>800</x:v>
      </x:c>
      <x:c r="AE50" s="81" t="n">
        <x:f>'Assumptions'!G64</x:f>
        <x:v>800</x:v>
      </x:c>
      <x:c r="AF50" s="81" t="n">
        <x:f>'Assumptions'!G64</x:f>
        <x:v>800</x:v>
      </x:c>
      <x:c r="AG50" s="81" t="n">
        <x:f>'Assumptions'!G64</x:f>
        <x:v>800</x:v>
      </x:c>
      <x:c r="AH50" s="81" t="n">
        <x:f>'Assumptions'!G64</x:f>
        <x:v>800</x:v>
      </x:c>
      <x:c r="AI50" s="81" t="n">
        <x:f>'Assumptions'!G64</x:f>
        <x:v>800</x:v>
      </x:c>
      <x:c r="AJ50" s="81" t="n">
        <x:f>'Assumptions'!G64</x:f>
        <x:v>800</x:v>
      </x:c>
      <x:c r="AK50" s="81" t="n">
        <x:f>'Assumptions'!G64</x:f>
        <x:v>800</x:v>
      </x:c>
      <x:c r="AL50" s="81" t="n">
        <x:f>'Assumptions'!G64</x:f>
        <x:v>800</x:v>
      </x:c>
      <x:c r="AM50" s="81" t="n">
        <x:f>'Assumptions'!G64</x:f>
        <x:v>800</x:v>
      </x:c>
      <x:c r="AN50" s="81" t="n">
        <x:f>'Assumptions'!G64</x:f>
        <x:v>800</x:v>
      </x:c>
      <x:c r="AO50" s="81" t="n">
        <x:f>'Assumptions'!H64</x:f>
        <x:v>900</x:v>
      </x:c>
      <x:c r="AP50" s="81" t="n">
        <x:f>'Assumptions'!H64</x:f>
        <x:v>900</x:v>
      </x:c>
      <x:c r="AQ50" s="81" t="n">
        <x:f>'Assumptions'!H64</x:f>
        <x:v>900</x:v>
      </x:c>
      <x:c r="AR50" s="81" t="n">
        <x:f>'Assumptions'!H64</x:f>
        <x:v>900</x:v>
      </x:c>
      <x:c r="AS50" s="81" t="n">
        <x:f>'Assumptions'!H64</x:f>
        <x:v>900</x:v>
      </x:c>
      <x:c r="AT50" s="81" t="n">
        <x:f>'Assumptions'!H64</x:f>
        <x:v>900</x:v>
      </x:c>
      <x:c r="AU50" s="81" t="n">
        <x:f>'Assumptions'!H64</x:f>
        <x:v>900</x:v>
      </x:c>
      <x:c r="AV50" s="81" t="n">
        <x:f>'Assumptions'!H64</x:f>
        <x:v>900</x:v>
      </x:c>
      <x:c r="AW50" s="81" t="n">
        <x:f>'Assumptions'!H64</x:f>
        <x:v>900</x:v>
      </x:c>
      <x:c r="AX50" s="81" t="n">
        <x:f>'Assumptions'!H64</x:f>
        <x:v>900</x:v>
      </x:c>
      <x:c r="AY50" s="81" t="n">
        <x:f>'Assumptions'!H64</x:f>
        <x:v>900</x:v>
      </x:c>
      <x:c r="AZ50" s="81" t="n">
        <x:f>'Assumptions'!H64</x:f>
        <x:v>900</x:v>
      </x:c>
      <x:c r="BA50" s="81" t="n">
        <x:f>'Assumptions'!I64</x:f>
        <x:v>1000</x:v>
      </x:c>
      <x:c r="BB50" s="81" t="n">
        <x:f>'Assumptions'!I64</x:f>
        <x:v>1000</x:v>
      </x:c>
      <x:c r="BC50" s="81" t="n">
        <x:f>'Assumptions'!I64</x:f>
        <x:v>1000</x:v>
      </x:c>
      <x:c r="BD50" s="81" t="n">
        <x:f>'Assumptions'!I64</x:f>
        <x:v>1000</x:v>
      </x:c>
      <x:c r="BE50" s="81" t="n">
        <x:f>'Assumptions'!I64</x:f>
        <x:v>1000</x:v>
      </x:c>
      <x:c r="BF50" s="81" t="n">
        <x:f>'Assumptions'!I64</x:f>
        <x:v>1000</x:v>
      </x:c>
      <x:c r="BG50" s="81" t="n">
        <x:f>'Assumptions'!I64</x:f>
        <x:v>1000</x:v>
      </x:c>
      <x:c r="BH50" s="81" t="n">
        <x:f>'Assumptions'!I64</x:f>
        <x:v>1000</x:v>
      </x:c>
      <x:c r="BI50" s="81" t="n">
        <x:f>'Assumptions'!I64</x:f>
        <x:v>1000</x:v>
      </x:c>
      <x:c r="BJ50" s="81" t="n">
        <x:f>'Assumptions'!I64</x:f>
        <x:v>1000</x:v>
      </x:c>
      <x:c r="BK50" s="81" t="n">
        <x:f>'Assumptions'!I64</x:f>
        <x:v>1000</x:v>
      </x:c>
      <x:c r="BL50" s="81" t="n">
        <x:f>'Assumptions'!I64</x:f>
        <x:v>1000</x:v>
      </x:c>
    </x:row>
    <x:row r="51" ht="23" customHeight="1">
      <x:c r="A51" s="2"/>
      <x:c r="B51" s="2"/>
      <x:c r="C51" s="4" t="str">
        <x:v>Fully loaded acquisition spend</x:v>
      </x:c>
      <x:c r="D51" s="2"/>
      <x:c r="E51" s="67" t="n">
        <x:f>E9*E49+E17*E50*E22</x:f>
        <x:v>82309.05377808033</x:v>
      </x:c>
      <x:c r="F51" s="67" t="n">
        <x:f>F9*F49+F17*F50*F22</x:f>
        <x:v>82309.05377808033</x:v>
      </x:c>
      <x:c r="G51" s="67" t="n">
        <x:f>G9*G49+G17*G50*G22</x:f>
        <x:v>82309.05377808033</x:v>
      </x:c>
      <x:c r="H51" s="67" t="n">
        <x:f>H9*H49+H17*H50*H22</x:f>
        <x:v>82309.05377808033</x:v>
      </x:c>
      <x:c r="I51" s="67" t="n">
        <x:f>I9*I49+I17*I50*I22</x:f>
        <x:v>82309.05377808033</x:v>
      </x:c>
      <x:c r="J51" s="67" t="n">
        <x:f>J9*J49+J17*J50*J22</x:f>
        <x:v>82309.05377808033</x:v>
      </x:c>
      <x:c r="K51" s="67" t="n">
        <x:f>K9*K49+K17*K50*K22</x:f>
        <x:v>82309.05377808033</x:v>
      </x:c>
      <x:c r="L51" s="67" t="n">
        <x:f>L9*L49+L17*L50*L22</x:f>
        <x:v>82309.05377808033</x:v>
      </x:c>
      <x:c r="M51" s="67" t="n">
        <x:f>M9*M49+M17*M50*M22</x:f>
        <x:v>82309.05377808033</x:v>
      </x:c>
      <x:c r="N51" s="67" t="n">
        <x:f>N9*N49+N17*N50*N22</x:f>
        <x:v>82309.05377808033</x:v>
      </x:c>
      <x:c r="O51" s="67" t="n">
        <x:f>O9*O49+O17*O50*O22</x:f>
        <x:v>82309.05377808033</x:v>
      </x:c>
      <x:c r="P51" s="67" t="n">
        <x:f>P9*P49+P17*P50*P22</x:f>
        <x:v>82309.05377808033</x:v>
      </x:c>
      <x:c r="Q51" s="67" t="n">
        <x:f>Q9*Q49+Q17*Q50*Q22</x:f>
        <x:v>578058.2028590878</x:v>
      </x:c>
      <x:c r="R51" s="83" t="n">
        <x:f>R9*R49+R17*R50*R22</x:f>
        <x:v>578058.2028590878</x:v>
      </x:c>
      <x:c r="S51" s="83" t="n">
        <x:f>S9*S49+S17*S50*S22</x:f>
        <x:v>578058.2028590878</x:v>
      </x:c>
      <x:c r="T51" s="83" t="n">
        <x:f>T9*T49+T17*T50*T22</x:f>
        <x:v>578058.2028590878</x:v>
      </x:c>
      <x:c r="U51" s="83" t="n">
        <x:f>U9*U49+U17*U50*U22</x:f>
        <x:v>578058.2028590878</x:v>
      </x:c>
      <x:c r="V51" s="83" t="n">
        <x:f>V9*V49+V17*V50*V22</x:f>
        <x:v>578058.2028590878</x:v>
      </x:c>
      <x:c r="W51" s="83" t="n">
        <x:f>W9*W49+W17*W50*W22</x:f>
        <x:v>578058.2028590878</x:v>
      </x:c>
      <x:c r="X51" s="83" t="n">
        <x:f>X9*X49+X17*X50*X22</x:f>
        <x:v>578058.2028590878</x:v>
      </x:c>
      <x:c r="Y51" s="83" t="n">
        <x:f>Y9*Y49+Y17*Y50*Y22</x:f>
        <x:v>578058.2028590878</x:v>
      </x:c>
      <x:c r="Z51" s="83" t="n">
        <x:f>Z9*Z49+Z17*Z50*Z22</x:f>
        <x:v>578058.2028590878</x:v>
      </x:c>
      <x:c r="AA51" s="83" t="n">
        <x:f>AA9*AA49+AA17*AA50*AA22</x:f>
        <x:v>578058.2028590878</x:v>
      </x:c>
      <x:c r="AB51" s="83" t="n">
        <x:f>AB9*AB49+AB17*AB50*AB22</x:f>
        <x:v>578058.2028590878</x:v>
      </x:c>
      <x:c r="AC51" s="83" t="n">
        <x:f>AC9*AC49+AC17*AC50*AC22</x:f>
        <x:v>2142232.8114363514</x:v>
      </x:c>
      <x:c r="AD51" s="83" t="n">
        <x:f>AD9*AD49+AD17*AD50*AD22</x:f>
        <x:v>2142232.8114363514</x:v>
      </x:c>
      <x:c r="AE51" s="83" t="n">
        <x:f>AE9*AE49+AE17*AE50*AE22</x:f>
        <x:v>2142232.8114363514</x:v>
      </x:c>
      <x:c r="AF51" s="83" t="n">
        <x:f>AF9*AF49+AF17*AF50*AF22</x:f>
        <x:v>2142232.8114363514</x:v>
      </x:c>
      <x:c r="AG51" s="83" t="n">
        <x:f>AG9*AG49+AG17*AG50*AG22</x:f>
        <x:v>2142232.8114363514</x:v>
      </x:c>
      <x:c r="AH51" s="83" t="n">
        <x:f>AH9*AH49+AH17*AH50*AH22</x:f>
        <x:v>2142232.8114363514</x:v>
      </x:c>
      <x:c r="AI51" s="83" t="n">
        <x:f>AI9*AI49+AI17*AI50*AI22</x:f>
        <x:v>2142232.8114363514</x:v>
      </x:c>
      <x:c r="AJ51" s="83" t="n">
        <x:f>AJ9*AJ49+AJ17*AJ50*AJ22</x:f>
        <x:v>2142232.8114363514</x:v>
      </x:c>
      <x:c r="AK51" s="83" t="n">
        <x:f>AK9*AK49+AK17*AK50*AK22</x:f>
        <x:v>2142232.8114363514</x:v>
      </x:c>
      <x:c r="AL51" s="83" t="n">
        <x:f>AL9*AL49+AL17*AL50*AL22</x:f>
        <x:v>2142232.8114363514</x:v>
      </x:c>
      <x:c r="AM51" s="83" t="n">
        <x:f>AM9*AM49+AM17*AM50*AM22</x:f>
        <x:v>2142232.8114363514</x:v>
      </x:c>
      <x:c r="AN51" s="83" t="n">
        <x:f>AN9*AN49+AN17*AN50*AN22</x:f>
        <x:v>2142232.8114363514</x:v>
      </x:c>
      <x:c r="AO51" s="83" t="n">
        <x:f>AO9*AO49+AO17*AO50*AO22</x:f>
        <x:v>5585023.825731791</x:v>
      </x:c>
      <x:c r="AP51" s="83" t="n">
        <x:f>AP9*AP49+AP17*AP50*AP22</x:f>
        <x:v>5585023.825731791</x:v>
      </x:c>
      <x:c r="AQ51" s="83" t="n">
        <x:f>AQ9*AQ49+AQ17*AQ50*AQ22</x:f>
        <x:v>5585023.825731791</x:v>
      </x:c>
      <x:c r="AR51" s="83" t="n">
        <x:f>AR9*AR49+AR17*AR50*AR22</x:f>
        <x:v>5585023.825731791</x:v>
      </x:c>
      <x:c r="AS51" s="83" t="n">
        <x:f>AS9*AS49+AS17*AS50*AS22</x:f>
        <x:v>5585023.825731791</x:v>
      </x:c>
      <x:c r="AT51" s="83" t="n">
        <x:f>AT9*AT49+AT17*AT50*AT22</x:f>
        <x:v>5585023.825731791</x:v>
      </x:c>
      <x:c r="AU51" s="83" t="n">
        <x:f>AU9*AU49+AU17*AU50*AU22</x:f>
        <x:v>5585023.825731791</x:v>
      </x:c>
      <x:c r="AV51" s="83" t="n">
        <x:f>AV9*AV49+AV17*AV50*AV22</x:f>
        <x:v>5585023.825731791</x:v>
      </x:c>
      <x:c r="AW51" s="83" t="n">
        <x:f>AW9*AW49+AW17*AW50*AW22</x:f>
        <x:v>5585023.825731791</x:v>
      </x:c>
      <x:c r="AX51" s="83" t="n">
        <x:f>AX9*AX49+AX17*AX50*AX22</x:f>
        <x:v>5585023.825731791</x:v>
      </x:c>
      <x:c r="AY51" s="83" t="n">
        <x:f>AY9*AY49+AY17*AY50*AY22</x:f>
        <x:v>5585023.825731791</x:v>
      </x:c>
      <x:c r="AZ51" s="83" t="n">
        <x:f>AZ9*AZ49+AZ17*AZ50*AZ22</x:f>
        <x:v>5585023.825731791</x:v>
      </x:c>
      <x:c r="BA51" s="83" t="n">
        <x:f>BA9*BA49+BA17*BA50*BA22</x:f>
        <x:v>12266099.387338325</x:v>
      </x:c>
      <x:c r="BB51" s="83" t="n">
        <x:f>BB9*BB49+BB17*BB50*BB22</x:f>
        <x:v>12266099.387338325</x:v>
      </x:c>
      <x:c r="BC51" s="83" t="n">
        <x:f>BC9*BC49+BC17*BC50*BC22</x:f>
        <x:v>12266099.387338325</x:v>
      </x:c>
      <x:c r="BD51" s="83" t="n">
        <x:f>BD9*BD49+BD17*BD50*BD22</x:f>
        <x:v>12266099.387338325</x:v>
      </x:c>
      <x:c r="BE51" s="83" t="n">
        <x:f>BE9*BE49+BE17*BE50*BE22</x:f>
        <x:v>12266099.387338325</x:v>
      </x:c>
      <x:c r="BF51" s="83" t="n">
        <x:f>BF9*BF49+BF17*BF50*BF22</x:f>
        <x:v>12266099.387338325</x:v>
      </x:c>
      <x:c r="BG51" s="83" t="n">
        <x:f>BG9*BG49+BG17*BG50*BG22</x:f>
        <x:v>12266099.387338325</x:v>
      </x:c>
      <x:c r="BH51" s="83" t="n">
        <x:f>BH9*BH49+BH17*BH50*BH22</x:f>
        <x:v>12266099.387338325</x:v>
      </x:c>
      <x:c r="BI51" s="83" t="n">
        <x:f>BI9*BI49+BI17*BI50*BI22</x:f>
        <x:v>12266099.387338325</x:v>
      </x:c>
      <x:c r="BJ51" s="83" t="n">
        <x:f>BJ9*BJ49+BJ17*BJ50*BJ22</x:f>
        <x:v>12266099.387338325</x:v>
      </x:c>
      <x:c r="BK51" s="83" t="n">
        <x:f>BK9*BK49+BK17*BK50*BK22</x:f>
        <x:v>12266099.387338325</x:v>
      </x:c>
      <x:c r="BL51" s="83" t="n">
        <x:f>BL9*BL49+BL17*BL50*BL22</x:f>
        <x:v>12266099.387338325</x:v>
      </x:c>
    </x:row>
    <x:row r="52" ht="23" customHeight="1">
      <x:c r="A52" s="2"/>
      <x:c r="B52" s="2"/>
      <x:c r="C52" s="4" t="str">
        <x:v>Product and central team FTE</x:v>
      </x:c>
      <x:c r="D52" s="2"/>
      <x:c r="E52" s="64" t="n">
        <x:f>'Assumptions'!E68</x:f>
        <x:v>3</x:v>
      </x:c>
      <x:c r="F52" s="64" t="n">
        <x:f>'Assumptions'!E68</x:f>
        <x:v>3</x:v>
      </x:c>
      <x:c r="G52" s="64" t="n">
        <x:f>'Assumptions'!E68</x:f>
        <x:v>3</x:v>
      </x:c>
      <x:c r="H52" s="64" t="n">
        <x:f>'Assumptions'!E68</x:f>
        <x:v>3</x:v>
      </x:c>
      <x:c r="I52" s="64" t="n">
        <x:f>'Assumptions'!E68</x:f>
        <x:v>3</x:v>
      </x:c>
      <x:c r="J52" s="64" t="n">
        <x:f>'Assumptions'!E68</x:f>
        <x:v>3</x:v>
      </x:c>
      <x:c r="K52" s="64" t="n">
        <x:f>'Assumptions'!E68</x:f>
        <x:v>3</x:v>
      </x:c>
      <x:c r="L52" s="64" t="n">
        <x:f>'Assumptions'!E68</x:f>
        <x:v>3</x:v>
      </x:c>
      <x:c r="M52" s="64" t="n">
        <x:f>'Assumptions'!E68</x:f>
        <x:v>3</x:v>
      </x:c>
      <x:c r="N52" s="64" t="n">
        <x:f>'Assumptions'!E68</x:f>
        <x:v>3</x:v>
      </x:c>
      <x:c r="O52" s="64" t="n">
        <x:f>'Assumptions'!E68</x:f>
        <x:v>3</x:v>
      </x:c>
      <x:c r="P52" s="64" t="n">
        <x:f>'Assumptions'!E68</x:f>
        <x:v>3</x:v>
      </x:c>
      <x:c r="Q52" s="64" t="n">
        <x:f>'Assumptions'!F68</x:f>
        <x:v>8</x:v>
      </x:c>
      <x:c r="R52" s="79" t="n">
        <x:f>'Assumptions'!F68</x:f>
        <x:v>8</x:v>
      </x:c>
      <x:c r="S52" s="79" t="n">
        <x:f>'Assumptions'!F68</x:f>
        <x:v>8</x:v>
      </x:c>
      <x:c r="T52" s="79" t="n">
        <x:f>'Assumptions'!F68</x:f>
        <x:v>8</x:v>
      </x:c>
      <x:c r="U52" s="79" t="n">
        <x:f>'Assumptions'!F68</x:f>
        <x:v>8</x:v>
      </x:c>
      <x:c r="V52" s="79" t="n">
        <x:f>'Assumptions'!F68</x:f>
        <x:v>8</x:v>
      </x:c>
      <x:c r="W52" s="79" t="n">
        <x:f>'Assumptions'!F68</x:f>
        <x:v>8</x:v>
      </x:c>
      <x:c r="X52" s="79" t="n">
        <x:f>'Assumptions'!F68</x:f>
        <x:v>8</x:v>
      </x:c>
      <x:c r="Y52" s="79" t="n">
        <x:f>'Assumptions'!F68</x:f>
        <x:v>8</x:v>
      </x:c>
      <x:c r="Z52" s="79" t="n">
        <x:f>'Assumptions'!F68</x:f>
        <x:v>8</x:v>
      </x:c>
      <x:c r="AA52" s="79" t="n">
        <x:f>'Assumptions'!F68</x:f>
        <x:v>8</x:v>
      </x:c>
      <x:c r="AB52" s="79" t="n">
        <x:f>'Assumptions'!F68</x:f>
        <x:v>8</x:v>
      </x:c>
      <x:c r="AC52" s="79" t="n">
        <x:f>'Assumptions'!G68</x:f>
        <x:v>18</x:v>
      </x:c>
      <x:c r="AD52" s="79" t="n">
        <x:f>'Assumptions'!G68</x:f>
        <x:v>18</x:v>
      </x:c>
      <x:c r="AE52" s="79" t="n">
        <x:f>'Assumptions'!G68</x:f>
        <x:v>18</x:v>
      </x:c>
      <x:c r="AF52" s="79" t="n">
        <x:f>'Assumptions'!G68</x:f>
        <x:v>18</x:v>
      </x:c>
      <x:c r="AG52" s="79" t="n">
        <x:f>'Assumptions'!G68</x:f>
        <x:v>18</x:v>
      </x:c>
      <x:c r="AH52" s="79" t="n">
        <x:f>'Assumptions'!G68</x:f>
        <x:v>18</x:v>
      </x:c>
      <x:c r="AI52" s="79" t="n">
        <x:f>'Assumptions'!G68</x:f>
        <x:v>18</x:v>
      </x:c>
      <x:c r="AJ52" s="79" t="n">
        <x:f>'Assumptions'!G68</x:f>
        <x:v>18</x:v>
      </x:c>
      <x:c r="AK52" s="79" t="n">
        <x:f>'Assumptions'!G68</x:f>
        <x:v>18</x:v>
      </x:c>
      <x:c r="AL52" s="79" t="n">
        <x:f>'Assumptions'!G68</x:f>
        <x:v>18</x:v>
      </x:c>
      <x:c r="AM52" s="79" t="n">
        <x:f>'Assumptions'!G68</x:f>
        <x:v>18</x:v>
      </x:c>
      <x:c r="AN52" s="79" t="n">
        <x:f>'Assumptions'!G68</x:f>
        <x:v>18</x:v>
      </x:c>
      <x:c r="AO52" s="79" t="n">
        <x:f>'Assumptions'!H68</x:f>
        <x:v>35</x:v>
      </x:c>
      <x:c r="AP52" s="79" t="n">
        <x:f>'Assumptions'!H68</x:f>
        <x:v>35</x:v>
      </x:c>
      <x:c r="AQ52" s="79" t="n">
        <x:f>'Assumptions'!H68</x:f>
        <x:v>35</x:v>
      </x:c>
      <x:c r="AR52" s="79" t="n">
        <x:f>'Assumptions'!H68</x:f>
        <x:v>35</x:v>
      </x:c>
      <x:c r="AS52" s="79" t="n">
        <x:f>'Assumptions'!H68</x:f>
        <x:v>35</x:v>
      </x:c>
      <x:c r="AT52" s="79" t="n">
        <x:f>'Assumptions'!H68</x:f>
        <x:v>35</x:v>
      </x:c>
      <x:c r="AU52" s="79" t="n">
        <x:f>'Assumptions'!H68</x:f>
        <x:v>35</x:v>
      </x:c>
      <x:c r="AV52" s="79" t="n">
        <x:f>'Assumptions'!H68</x:f>
        <x:v>35</x:v>
      </x:c>
      <x:c r="AW52" s="79" t="n">
        <x:f>'Assumptions'!H68</x:f>
        <x:v>35</x:v>
      </x:c>
      <x:c r="AX52" s="79" t="n">
        <x:f>'Assumptions'!H68</x:f>
        <x:v>35</x:v>
      </x:c>
      <x:c r="AY52" s="79" t="n">
        <x:f>'Assumptions'!H68</x:f>
        <x:v>35</x:v>
      </x:c>
      <x:c r="AZ52" s="79" t="n">
        <x:f>'Assumptions'!H68</x:f>
        <x:v>35</x:v>
      </x:c>
      <x:c r="BA52" s="79" t="n">
        <x:f>'Assumptions'!I68</x:f>
        <x:v>60</x:v>
      </x:c>
      <x:c r="BB52" s="79" t="n">
        <x:f>'Assumptions'!I68</x:f>
        <x:v>60</x:v>
      </x:c>
      <x:c r="BC52" s="79" t="n">
        <x:f>'Assumptions'!I68</x:f>
        <x:v>60</x:v>
      </x:c>
      <x:c r="BD52" s="79" t="n">
        <x:f>'Assumptions'!I68</x:f>
        <x:v>60</x:v>
      </x:c>
      <x:c r="BE52" s="79" t="n">
        <x:f>'Assumptions'!I68</x:f>
        <x:v>60</x:v>
      </x:c>
      <x:c r="BF52" s="79" t="n">
        <x:f>'Assumptions'!I68</x:f>
        <x:v>60</x:v>
      </x:c>
      <x:c r="BG52" s="79" t="n">
        <x:f>'Assumptions'!I68</x:f>
        <x:v>60</x:v>
      </x:c>
      <x:c r="BH52" s="79" t="n">
        <x:f>'Assumptions'!I68</x:f>
        <x:v>60</x:v>
      </x:c>
      <x:c r="BI52" s="79" t="n">
        <x:f>'Assumptions'!I68</x:f>
        <x:v>60</x:v>
      </x:c>
      <x:c r="BJ52" s="79" t="n">
        <x:f>'Assumptions'!I68</x:f>
        <x:v>60</x:v>
      </x:c>
      <x:c r="BK52" s="79" t="n">
        <x:f>'Assumptions'!I68</x:f>
        <x:v>60</x:v>
      </x:c>
      <x:c r="BL52" s="79" t="n">
        <x:f>'Assumptions'!I68</x:f>
        <x:v>60</x:v>
      </x:c>
    </x:row>
    <x:row r="53" ht="23" customHeight="1">
      <x:c r="A53" s="2"/>
      <x:c r="B53" s="2"/>
      <x:c r="C53" s="4" t="str">
        <x:v>Loaded INR / FTE / month</x:v>
      </x:c>
      <x:c r="D53" s="2"/>
      <x:c r="E53" s="66" t="n">
        <x:f>'Assumptions'!E72</x:f>
        <x:v>110000</x:v>
      </x:c>
      <x:c r="F53" s="66" t="n">
        <x:f>'Assumptions'!E72</x:f>
        <x:v>110000</x:v>
      </x:c>
      <x:c r="G53" s="66" t="n">
        <x:f>'Assumptions'!E72</x:f>
        <x:v>110000</x:v>
      </x:c>
      <x:c r="H53" s="66" t="n">
        <x:f>'Assumptions'!E72</x:f>
        <x:v>110000</x:v>
      </x:c>
      <x:c r="I53" s="66" t="n">
        <x:f>'Assumptions'!E72</x:f>
        <x:v>110000</x:v>
      </x:c>
      <x:c r="J53" s="66" t="n">
        <x:f>'Assumptions'!E72</x:f>
        <x:v>110000</x:v>
      </x:c>
      <x:c r="K53" s="66" t="n">
        <x:f>'Assumptions'!E72</x:f>
        <x:v>110000</x:v>
      </x:c>
      <x:c r="L53" s="66" t="n">
        <x:f>'Assumptions'!E72</x:f>
        <x:v>110000</x:v>
      </x:c>
      <x:c r="M53" s="66" t="n">
        <x:f>'Assumptions'!E72</x:f>
        <x:v>110000</x:v>
      </x:c>
      <x:c r="N53" s="66" t="n">
        <x:f>'Assumptions'!E72</x:f>
        <x:v>110000</x:v>
      </x:c>
      <x:c r="O53" s="66" t="n">
        <x:f>'Assumptions'!E72</x:f>
        <x:v>110000</x:v>
      </x:c>
      <x:c r="P53" s="66" t="n">
        <x:f>'Assumptions'!E72</x:f>
        <x:v>110000</x:v>
      </x:c>
      <x:c r="Q53" s="66" t="n">
        <x:f>'Assumptions'!F72</x:f>
        <x:v>120000</x:v>
      </x:c>
      <x:c r="R53" s="81" t="n">
        <x:f>'Assumptions'!F72</x:f>
        <x:v>120000</x:v>
      </x:c>
      <x:c r="S53" s="81" t="n">
        <x:f>'Assumptions'!F72</x:f>
        <x:v>120000</x:v>
      </x:c>
      <x:c r="T53" s="81" t="n">
        <x:f>'Assumptions'!F72</x:f>
        <x:v>120000</x:v>
      </x:c>
      <x:c r="U53" s="81" t="n">
        <x:f>'Assumptions'!F72</x:f>
        <x:v>120000</x:v>
      </x:c>
      <x:c r="V53" s="81" t="n">
        <x:f>'Assumptions'!F72</x:f>
        <x:v>120000</x:v>
      </x:c>
      <x:c r="W53" s="81" t="n">
        <x:f>'Assumptions'!F72</x:f>
        <x:v>120000</x:v>
      </x:c>
      <x:c r="X53" s="81" t="n">
        <x:f>'Assumptions'!F72</x:f>
        <x:v>120000</x:v>
      </x:c>
      <x:c r="Y53" s="81" t="n">
        <x:f>'Assumptions'!F72</x:f>
        <x:v>120000</x:v>
      </x:c>
      <x:c r="Z53" s="81" t="n">
        <x:f>'Assumptions'!F72</x:f>
        <x:v>120000</x:v>
      </x:c>
      <x:c r="AA53" s="81" t="n">
        <x:f>'Assumptions'!F72</x:f>
        <x:v>120000</x:v>
      </x:c>
      <x:c r="AB53" s="81" t="n">
        <x:f>'Assumptions'!F72</x:f>
        <x:v>120000</x:v>
      </x:c>
      <x:c r="AC53" s="81" t="n">
        <x:f>'Assumptions'!G72</x:f>
        <x:v>135000</x:v>
      </x:c>
      <x:c r="AD53" s="81" t="n">
        <x:f>'Assumptions'!G72</x:f>
        <x:v>135000</x:v>
      </x:c>
      <x:c r="AE53" s="81" t="n">
        <x:f>'Assumptions'!G72</x:f>
        <x:v>135000</x:v>
      </x:c>
      <x:c r="AF53" s="81" t="n">
        <x:f>'Assumptions'!G72</x:f>
        <x:v>135000</x:v>
      </x:c>
      <x:c r="AG53" s="81" t="n">
        <x:f>'Assumptions'!G72</x:f>
        <x:v>135000</x:v>
      </x:c>
      <x:c r="AH53" s="81" t="n">
        <x:f>'Assumptions'!G72</x:f>
        <x:v>135000</x:v>
      </x:c>
      <x:c r="AI53" s="81" t="n">
        <x:f>'Assumptions'!G72</x:f>
        <x:v>135000</x:v>
      </x:c>
      <x:c r="AJ53" s="81" t="n">
        <x:f>'Assumptions'!G72</x:f>
        <x:v>135000</x:v>
      </x:c>
      <x:c r="AK53" s="81" t="n">
        <x:f>'Assumptions'!G72</x:f>
        <x:v>135000</x:v>
      </x:c>
      <x:c r="AL53" s="81" t="n">
        <x:f>'Assumptions'!G72</x:f>
        <x:v>135000</x:v>
      </x:c>
      <x:c r="AM53" s="81" t="n">
        <x:f>'Assumptions'!G72</x:f>
        <x:v>135000</x:v>
      </x:c>
      <x:c r="AN53" s="81" t="n">
        <x:f>'Assumptions'!G72</x:f>
        <x:v>135000</x:v>
      </x:c>
      <x:c r="AO53" s="81" t="n">
        <x:f>'Assumptions'!H72</x:f>
        <x:v>150000</x:v>
      </x:c>
      <x:c r="AP53" s="81" t="n">
        <x:f>'Assumptions'!H72</x:f>
        <x:v>150000</x:v>
      </x:c>
      <x:c r="AQ53" s="81" t="n">
        <x:f>'Assumptions'!H72</x:f>
        <x:v>150000</x:v>
      </x:c>
      <x:c r="AR53" s="81" t="n">
        <x:f>'Assumptions'!H72</x:f>
        <x:v>150000</x:v>
      </x:c>
      <x:c r="AS53" s="81" t="n">
        <x:f>'Assumptions'!H72</x:f>
        <x:v>150000</x:v>
      </x:c>
      <x:c r="AT53" s="81" t="n">
        <x:f>'Assumptions'!H72</x:f>
        <x:v>150000</x:v>
      </x:c>
      <x:c r="AU53" s="81" t="n">
        <x:f>'Assumptions'!H72</x:f>
        <x:v>150000</x:v>
      </x:c>
      <x:c r="AV53" s="81" t="n">
        <x:f>'Assumptions'!H72</x:f>
        <x:v>150000</x:v>
      </x:c>
      <x:c r="AW53" s="81" t="n">
        <x:f>'Assumptions'!H72</x:f>
        <x:v>150000</x:v>
      </x:c>
      <x:c r="AX53" s="81" t="n">
        <x:f>'Assumptions'!H72</x:f>
        <x:v>150000</x:v>
      </x:c>
      <x:c r="AY53" s="81" t="n">
        <x:f>'Assumptions'!H72</x:f>
        <x:v>150000</x:v>
      </x:c>
      <x:c r="AZ53" s="81" t="n">
        <x:f>'Assumptions'!H72</x:f>
        <x:v>150000</x:v>
      </x:c>
      <x:c r="BA53" s="81" t="n">
        <x:f>'Assumptions'!I72</x:f>
        <x:v>165000</x:v>
      </x:c>
      <x:c r="BB53" s="81" t="n">
        <x:f>'Assumptions'!I72</x:f>
        <x:v>165000</x:v>
      </x:c>
      <x:c r="BC53" s="81" t="n">
        <x:f>'Assumptions'!I72</x:f>
        <x:v>165000</x:v>
      </x:c>
      <x:c r="BD53" s="81" t="n">
        <x:f>'Assumptions'!I72</x:f>
        <x:v>165000</x:v>
      </x:c>
      <x:c r="BE53" s="81" t="n">
        <x:f>'Assumptions'!I72</x:f>
        <x:v>165000</x:v>
      </x:c>
      <x:c r="BF53" s="81" t="n">
        <x:f>'Assumptions'!I72</x:f>
        <x:v>165000</x:v>
      </x:c>
      <x:c r="BG53" s="81" t="n">
        <x:f>'Assumptions'!I72</x:f>
        <x:v>165000</x:v>
      </x:c>
      <x:c r="BH53" s="81" t="n">
        <x:f>'Assumptions'!I72</x:f>
        <x:v>165000</x:v>
      </x:c>
      <x:c r="BI53" s="81" t="n">
        <x:f>'Assumptions'!I72</x:f>
        <x:v>165000</x:v>
      </x:c>
      <x:c r="BJ53" s="81" t="n">
        <x:f>'Assumptions'!I72</x:f>
        <x:v>165000</x:v>
      </x:c>
      <x:c r="BK53" s="81" t="n">
        <x:f>'Assumptions'!I72</x:f>
        <x:v>165000</x:v>
      </x:c>
      <x:c r="BL53" s="81" t="n">
        <x:f>'Assumptions'!I72</x:f>
        <x:v>165000</x:v>
      </x:c>
    </x:row>
    <x:row r="54" ht="23" customHeight="1">
      <x:c r="A54" s="2"/>
      <x:c r="B54" s="2"/>
      <x:c r="C54" s="4" t="str">
        <x:v>Product and central payroll</x:v>
      </x:c>
      <x:c r="D54" s="2"/>
      <x:c r="E54" s="67" t="n">
        <x:f>E52*E53</x:f>
        <x:v>330000</x:v>
      </x:c>
      <x:c r="F54" s="67" t="n">
        <x:f>F52*F53</x:f>
        <x:v>330000</x:v>
      </x:c>
      <x:c r="G54" s="67" t="n">
        <x:f>G52*G53</x:f>
        <x:v>330000</x:v>
      </x:c>
      <x:c r="H54" s="67" t="n">
        <x:f>H52*H53</x:f>
        <x:v>330000</x:v>
      </x:c>
      <x:c r="I54" s="67" t="n">
        <x:f>I52*I53</x:f>
        <x:v>330000</x:v>
      </x:c>
      <x:c r="J54" s="67" t="n">
        <x:f>J52*J53</x:f>
        <x:v>330000</x:v>
      </x:c>
      <x:c r="K54" s="67" t="n">
        <x:f>K52*K53</x:f>
        <x:v>330000</x:v>
      </x:c>
      <x:c r="L54" s="67" t="n">
        <x:f>L52*L53</x:f>
        <x:v>330000</x:v>
      </x:c>
      <x:c r="M54" s="67" t="n">
        <x:f>M52*M53</x:f>
        <x:v>330000</x:v>
      </x:c>
      <x:c r="N54" s="67" t="n">
        <x:f>N52*N53</x:f>
        <x:v>330000</x:v>
      </x:c>
      <x:c r="O54" s="67" t="n">
        <x:f>O52*O53</x:f>
        <x:v>330000</x:v>
      </x:c>
      <x:c r="P54" s="67" t="n">
        <x:f>P52*P53</x:f>
        <x:v>330000</x:v>
      </x:c>
      <x:c r="Q54" s="67" t="n">
        <x:f>Q52*Q53</x:f>
        <x:v>960000</x:v>
      </x:c>
      <x:c r="R54" s="83" t="n">
        <x:f>R52*R53</x:f>
        <x:v>960000</x:v>
      </x:c>
      <x:c r="S54" s="83" t="n">
        <x:f>S52*S53</x:f>
        <x:v>960000</x:v>
      </x:c>
      <x:c r="T54" s="83" t="n">
        <x:f>T52*T53</x:f>
        <x:v>960000</x:v>
      </x:c>
      <x:c r="U54" s="83" t="n">
        <x:f>U52*U53</x:f>
        <x:v>960000</x:v>
      </x:c>
      <x:c r="V54" s="83" t="n">
        <x:f>V52*V53</x:f>
        <x:v>960000</x:v>
      </x:c>
      <x:c r="W54" s="83" t="n">
        <x:f>W52*W53</x:f>
        <x:v>960000</x:v>
      </x:c>
      <x:c r="X54" s="83" t="n">
        <x:f>X52*X53</x:f>
        <x:v>960000</x:v>
      </x:c>
      <x:c r="Y54" s="83" t="n">
        <x:f>Y52*Y53</x:f>
        <x:v>960000</x:v>
      </x:c>
      <x:c r="Z54" s="83" t="n">
        <x:f>Z52*Z53</x:f>
        <x:v>960000</x:v>
      </x:c>
      <x:c r="AA54" s="83" t="n">
        <x:f>AA52*AA53</x:f>
        <x:v>960000</x:v>
      </x:c>
      <x:c r="AB54" s="83" t="n">
        <x:f>AB52*AB53</x:f>
        <x:v>960000</x:v>
      </x:c>
      <x:c r="AC54" s="83" t="n">
        <x:f>AC52*AC53</x:f>
        <x:v>2430000</x:v>
      </x:c>
      <x:c r="AD54" s="83" t="n">
        <x:f>AD52*AD53</x:f>
        <x:v>2430000</x:v>
      </x:c>
      <x:c r="AE54" s="83" t="n">
        <x:f>AE52*AE53</x:f>
        <x:v>2430000</x:v>
      </x:c>
      <x:c r="AF54" s="83" t="n">
        <x:f>AF52*AF53</x:f>
        <x:v>2430000</x:v>
      </x:c>
      <x:c r="AG54" s="83" t="n">
        <x:f>AG52*AG53</x:f>
        <x:v>2430000</x:v>
      </x:c>
      <x:c r="AH54" s="83" t="n">
        <x:f>AH52*AH53</x:f>
        <x:v>2430000</x:v>
      </x:c>
      <x:c r="AI54" s="83" t="n">
        <x:f>AI52*AI53</x:f>
        <x:v>2430000</x:v>
      </x:c>
      <x:c r="AJ54" s="83" t="n">
        <x:f>AJ52*AJ53</x:f>
        <x:v>2430000</x:v>
      </x:c>
      <x:c r="AK54" s="83" t="n">
        <x:f>AK52*AK53</x:f>
        <x:v>2430000</x:v>
      </x:c>
      <x:c r="AL54" s="83" t="n">
        <x:f>AL52*AL53</x:f>
        <x:v>2430000</x:v>
      </x:c>
      <x:c r="AM54" s="83" t="n">
        <x:f>AM52*AM53</x:f>
        <x:v>2430000</x:v>
      </x:c>
      <x:c r="AN54" s="83" t="n">
        <x:f>AN52*AN53</x:f>
        <x:v>2430000</x:v>
      </x:c>
      <x:c r="AO54" s="83" t="n">
        <x:f>AO52*AO53</x:f>
        <x:v>5250000</x:v>
      </x:c>
      <x:c r="AP54" s="83" t="n">
        <x:f>AP52*AP53</x:f>
        <x:v>5250000</x:v>
      </x:c>
      <x:c r="AQ54" s="83" t="n">
        <x:f>AQ52*AQ53</x:f>
        <x:v>5250000</x:v>
      </x:c>
      <x:c r="AR54" s="83" t="n">
        <x:f>AR52*AR53</x:f>
        <x:v>5250000</x:v>
      </x:c>
      <x:c r="AS54" s="83" t="n">
        <x:f>AS52*AS53</x:f>
        <x:v>5250000</x:v>
      </x:c>
      <x:c r="AT54" s="83" t="n">
        <x:f>AT52*AT53</x:f>
        <x:v>5250000</x:v>
      </x:c>
      <x:c r="AU54" s="83" t="n">
        <x:f>AU52*AU53</x:f>
        <x:v>5250000</x:v>
      </x:c>
      <x:c r="AV54" s="83" t="n">
        <x:f>AV52*AV53</x:f>
        <x:v>5250000</x:v>
      </x:c>
      <x:c r="AW54" s="83" t="n">
        <x:f>AW52*AW53</x:f>
        <x:v>5250000</x:v>
      </x:c>
      <x:c r="AX54" s="83" t="n">
        <x:f>AX52*AX53</x:f>
        <x:v>5250000</x:v>
      </x:c>
      <x:c r="AY54" s="83" t="n">
        <x:f>AY52*AY53</x:f>
        <x:v>5250000</x:v>
      </x:c>
      <x:c r="AZ54" s="83" t="n">
        <x:f>AZ52*AZ53</x:f>
        <x:v>5250000</x:v>
      </x:c>
      <x:c r="BA54" s="83" t="n">
        <x:f>BA52*BA53</x:f>
        <x:v>9900000</x:v>
      </x:c>
      <x:c r="BB54" s="83" t="n">
        <x:f>BB52*BB53</x:f>
        <x:v>9900000</x:v>
      </x:c>
      <x:c r="BC54" s="83" t="n">
        <x:f>BC52*BC53</x:f>
        <x:v>9900000</x:v>
      </x:c>
      <x:c r="BD54" s="83" t="n">
        <x:f>BD52*BD53</x:f>
        <x:v>9900000</x:v>
      </x:c>
      <x:c r="BE54" s="83" t="n">
        <x:f>BE52*BE53</x:f>
        <x:v>9900000</x:v>
      </x:c>
      <x:c r="BF54" s="83" t="n">
        <x:f>BF52*BF53</x:f>
        <x:v>9900000</x:v>
      </x:c>
      <x:c r="BG54" s="83" t="n">
        <x:f>BG52*BG53</x:f>
        <x:v>9900000</x:v>
      </x:c>
      <x:c r="BH54" s="83" t="n">
        <x:f>BH52*BH53</x:f>
        <x:v>9900000</x:v>
      </x:c>
      <x:c r="BI54" s="83" t="n">
        <x:f>BI52*BI53</x:f>
        <x:v>9900000</x:v>
      </x:c>
      <x:c r="BJ54" s="83" t="n">
        <x:f>BJ52*BJ53</x:f>
        <x:v>9900000</x:v>
      </x:c>
      <x:c r="BK54" s="83" t="n">
        <x:f>BK52*BK53</x:f>
        <x:v>9900000</x:v>
      </x:c>
      <x:c r="BL54" s="83" t="n">
        <x:f>BL52*BL53</x:f>
        <x:v>9900000</x:v>
      </x:c>
    </x:row>
    <x:row r="55" ht="23" customHeight="1">
      <x:c r="A55" s="2"/>
      <x:c r="B55" s="2"/>
      <x:c r="C55" s="4" t="str">
        <x:v>Fixed G&amp;A</x:v>
      </x:c>
      <x:c r="D55" s="2"/>
      <x:c r="E55" s="69" t="n">
        <x:f>'Assumptions'!E76</x:f>
        <x:v>100000</x:v>
      </x:c>
      <x:c r="F55" s="69" t="n">
        <x:f>'Assumptions'!E76</x:f>
        <x:v>100000</x:v>
      </x:c>
      <x:c r="G55" s="69" t="n">
        <x:f>'Assumptions'!E76</x:f>
        <x:v>100000</x:v>
      </x:c>
      <x:c r="H55" s="69" t="n">
        <x:f>'Assumptions'!E76</x:f>
        <x:v>100000</x:v>
      </x:c>
      <x:c r="I55" s="69" t="n">
        <x:f>'Assumptions'!E76</x:f>
        <x:v>100000</x:v>
      </x:c>
      <x:c r="J55" s="69" t="n">
        <x:f>'Assumptions'!E76</x:f>
        <x:v>100000</x:v>
      </x:c>
      <x:c r="K55" s="69" t="n">
        <x:f>'Assumptions'!E76</x:f>
        <x:v>100000</x:v>
      </x:c>
      <x:c r="L55" s="69" t="n">
        <x:f>'Assumptions'!E76</x:f>
        <x:v>100000</x:v>
      </x:c>
      <x:c r="M55" s="69" t="n">
        <x:f>'Assumptions'!E76</x:f>
        <x:v>100000</x:v>
      </x:c>
      <x:c r="N55" s="69" t="n">
        <x:f>'Assumptions'!E76</x:f>
        <x:v>100000</x:v>
      </x:c>
      <x:c r="O55" s="69" t="n">
        <x:f>'Assumptions'!E76</x:f>
        <x:v>100000</x:v>
      </x:c>
      <x:c r="P55" s="69" t="n">
        <x:f>'Assumptions'!E76</x:f>
        <x:v>100000</x:v>
      </x:c>
      <x:c r="Q55" s="69" t="n">
        <x:f>'Assumptions'!F76</x:f>
        <x:v>200000</x:v>
      </x:c>
      <x:c r="R55" s="86" t="n">
        <x:f>'Assumptions'!F76</x:f>
        <x:v>200000</x:v>
      </x:c>
      <x:c r="S55" s="86" t="n">
        <x:f>'Assumptions'!F76</x:f>
        <x:v>200000</x:v>
      </x:c>
      <x:c r="T55" s="86" t="n">
        <x:f>'Assumptions'!F76</x:f>
        <x:v>200000</x:v>
      </x:c>
      <x:c r="U55" s="86" t="n">
        <x:f>'Assumptions'!F76</x:f>
        <x:v>200000</x:v>
      </x:c>
      <x:c r="V55" s="86" t="n">
        <x:f>'Assumptions'!F76</x:f>
        <x:v>200000</x:v>
      </x:c>
      <x:c r="W55" s="86" t="n">
        <x:f>'Assumptions'!F76</x:f>
        <x:v>200000</x:v>
      </x:c>
      <x:c r="X55" s="86" t="n">
        <x:f>'Assumptions'!F76</x:f>
        <x:v>200000</x:v>
      </x:c>
      <x:c r="Y55" s="86" t="n">
        <x:f>'Assumptions'!F76</x:f>
        <x:v>200000</x:v>
      </x:c>
      <x:c r="Z55" s="86" t="n">
        <x:f>'Assumptions'!F76</x:f>
        <x:v>200000</x:v>
      </x:c>
      <x:c r="AA55" s="86" t="n">
        <x:f>'Assumptions'!F76</x:f>
        <x:v>200000</x:v>
      </x:c>
      <x:c r="AB55" s="86" t="n">
        <x:f>'Assumptions'!F76</x:f>
        <x:v>200000</x:v>
      </x:c>
      <x:c r="AC55" s="86" t="n">
        <x:f>'Assumptions'!G76</x:f>
        <x:v>500000</x:v>
      </x:c>
      <x:c r="AD55" s="86" t="n">
        <x:f>'Assumptions'!G76</x:f>
        <x:v>500000</x:v>
      </x:c>
      <x:c r="AE55" s="86" t="n">
        <x:f>'Assumptions'!G76</x:f>
        <x:v>500000</x:v>
      </x:c>
      <x:c r="AF55" s="86" t="n">
        <x:f>'Assumptions'!G76</x:f>
        <x:v>500000</x:v>
      </x:c>
      <x:c r="AG55" s="86" t="n">
        <x:f>'Assumptions'!G76</x:f>
        <x:v>500000</x:v>
      </x:c>
      <x:c r="AH55" s="86" t="n">
        <x:f>'Assumptions'!G76</x:f>
        <x:v>500000</x:v>
      </x:c>
      <x:c r="AI55" s="86" t="n">
        <x:f>'Assumptions'!G76</x:f>
        <x:v>500000</x:v>
      </x:c>
      <x:c r="AJ55" s="86" t="n">
        <x:f>'Assumptions'!G76</x:f>
        <x:v>500000</x:v>
      </x:c>
      <x:c r="AK55" s="86" t="n">
        <x:f>'Assumptions'!G76</x:f>
        <x:v>500000</x:v>
      </x:c>
      <x:c r="AL55" s="86" t="n">
        <x:f>'Assumptions'!G76</x:f>
        <x:v>500000</x:v>
      </x:c>
      <x:c r="AM55" s="86" t="n">
        <x:f>'Assumptions'!G76</x:f>
        <x:v>500000</x:v>
      </x:c>
      <x:c r="AN55" s="86" t="n">
        <x:f>'Assumptions'!G76</x:f>
        <x:v>500000</x:v>
      </x:c>
      <x:c r="AO55" s="86" t="n">
        <x:f>'Assumptions'!H76</x:f>
        <x:v>1000000</x:v>
      </x:c>
      <x:c r="AP55" s="86" t="n">
        <x:f>'Assumptions'!H76</x:f>
        <x:v>1000000</x:v>
      </x:c>
      <x:c r="AQ55" s="86" t="n">
        <x:f>'Assumptions'!H76</x:f>
        <x:v>1000000</x:v>
      </x:c>
      <x:c r="AR55" s="86" t="n">
        <x:f>'Assumptions'!H76</x:f>
        <x:v>1000000</x:v>
      </x:c>
      <x:c r="AS55" s="86" t="n">
        <x:f>'Assumptions'!H76</x:f>
        <x:v>1000000</x:v>
      </x:c>
      <x:c r="AT55" s="86" t="n">
        <x:f>'Assumptions'!H76</x:f>
        <x:v>1000000</x:v>
      </x:c>
      <x:c r="AU55" s="86" t="n">
        <x:f>'Assumptions'!H76</x:f>
        <x:v>1000000</x:v>
      </x:c>
      <x:c r="AV55" s="86" t="n">
        <x:f>'Assumptions'!H76</x:f>
        <x:v>1000000</x:v>
      </x:c>
      <x:c r="AW55" s="86" t="n">
        <x:f>'Assumptions'!H76</x:f>
        <x:v>1000000</x:v>
      </x:c>
      <x:c r="AX55" s="86" t="n">
        <x:f>'Assumptions'!H76</x:f>
        <x:v>1000000</x:v>
      </x:c>
      <x:c r="AY55" s="86" t="n">
        <x:f>'Assumptions'!H76</x:f>
        <x:v>1000000</x:v>
      </x:c>
      <x:c r="AZ55" s="86" t="n">
        <x:f>'Assumptions'!H76</x:f>
        <x:v>1000000</x:v>
      </x:c>
      <x:c r="BA55" s="86" t="n">
        <x:f>'Assumptions'!I76</x:f>
        <x:v>2000000</x:v>
      </x:c>
      <x:c r="BB55" s="86" t="n">
        <x:f>'Assumptions'!I76</x:f>
        <x:v>2000000</x:v>
      </x:c>
      <x:c r="BC55" s="86" t="n">
        <x:f>'Assumptions'!I76</x:f>
        <x:v>2000000</x:v>
      </x:c>
      <x:c r="BD55" s="86" t="n">
        <x:f>'Assumptions'!I76</x:f>
        <x:v>2000000</x:v>
      </x:c>
      <x:c r="BE55" s="86" t="n">
        <x:f>'Assumptions'!I76</x:f>
        <x:v>2000000</x:v>
      </x:c>
      <x:c r="BF55" s="86" t="n">
        <x:f>'Assumptions'!I76</x:f>
        <x:v>2000000</x:v>
      </x:c>
      <x:c r="BG55" s="86" t="n">
        <x:f>'Assumptions'!I76</x:f>
        <x:v>2000000</x:v>
      </x:c>
      <x:c r="BH55" s="86" t="n">
        <x:f>'Assumptions'!I76</x:f>
        <x:v>2000000</x:v>
      </x:c>
      <x:c r="BI55" s="86" t="n">
        <x:f>'Assumptions'!I76</x:f>
        <x:v>2000000</x:v>
      </x:c>
      <x:c r="BJ55" s="86" t="n">
        <x:f>'Assumptions'!I76</x:f>
        <x:v>2000000</x:v>
      </x:c>
      <x:c r="BK55" s="86" t="n">
        <x:f>'Assumptions'!I76</x:f>
        <x:v>2000000</x:v>
      </x:c>
      <x:c r="BL55" s="86" t="n">
        <x:f>'Assumptions'!I76</x:f>
        <x:v>2000000</x:v>
      </x:c>
    </x:row>
    <x:row r="56" ht="23" customHeight="1">
      <x:c r="A56" s="2"/>
      <x:c r="B56" s="2"/>
      <x:c r="C56" s="4" t="str">
        <x:v>Launch marketing cash spend</x:v>
      </x:c>
      <x:c r="D56" s="2"/>
      <x:c r="E56" s="69" t="n">
        <x:f>'Assumptions'!$D$28</x:f>
        <x:v>300000</x:v>
      </x:c>
      <x:c r="F56" s="67" t="n">
        <x:f>0</x:f>
        <x:v>0</x:v>
      </x:c>
      <x:c r="G56" s="67" t="n">
        <x:f>0</x:f>
        <x:v>0</x:v>
      </x:c>
      <x:c r="H56" s="67" t="n">
        <x:f>0</x:f>
        <x:v>0</x:v>
      </x:c>
      <x:c r="I56" s="67" t="n">
        <x:f>0</x:f>
        <x:v>0</x:v>
      </x:c>
      <x:c r="J56" s="67" t="n">
        <x:f>0</x:f>
        <x:v>0</x:v>
      </x:c>
      <x:c r="K56" s="67" t="n">
        <x:f>0</x:f>
        <x:v>0</x:v>
      </x:c>
      <x:c r="L56" s="67" t="n">
        <x:f>0</x:f>
        <x:v>0</x:v>
      </x:c>
      <x:c r="M56" s="67" t="n">
        <x:f>0</x:f>
        <x:v>0</x:v>
      </x:c>
      <x:c r="N56" s="67" t="n">
        <x:f>0</x:f>
        <x:v>0</x:v>
      </x:c>
      <x:c r="O56" s="67" t="n">
        <x:f>0</x:f>
        <x:v>0</x:v>
      </x:c>
      <x:c r="P56" s="67" t="n">
        <x:f>0</x:f>
        <x:v>0</x:v>
      </x:c>
      <x:c r="Q56" s="67" t="n">
        <x:f>0</x:f>
        <x:v>0</x:v>
      </x:c>
      <x:c r="R56" s="83" t="n">
        <x:f>0</x:f>
        <x:v>0</x:v>
      </x:c>
      <x:c r="S56" s="83" t="n">
        <x:f>0</x:f>
        <x:v>0</x:v>
      </x:c>
      <x:c r="T56" s="83" t="n">
        <x:f>0</x:f>
        <x:v>0</x:v>
      </x:c>
      <x:c r="U56" s="83" t="n">
        <x:f>0</x:f>
        <x:v>0</x:v>
      </x:c>
      <x:c r="V56" s="83" t="n">
        <x:f>0</x:f>
        <x:v>0</x:v>
      </x:c>
      <x:c r="W56" s="83" t="n">
        <x:f>0</x:f>
        <x:v>0</x:v>
      </x:c>
      <x:c r="X56" s="83" t="n">
        <x:f>0</x:f>
        <x:v>0</x:v>
      </x:c>
      <x:c r="Y56" s="83" t="n">
        <x:f>0</x:f>
        <x:v>0</x:v>
      </x:c>
      <x:c r="Z56" s="83" t="n">
        <x:f>0</x:f>
        <x:v>0</x:v>
      </x:c>
      <x:c r="AA56" s="83" t="n">
        <x:f>0</x:f>
        <x:v>0</x:v>
      </x:c>
      <x:c r="AB56" s="83" t="n">
        <x:f>0</x:f>
        <x:v>0</x:v>
      </x:c>
      <x:c r="AC56" s="83" t="n">
        <x:f>0</x:f>
        <x:v>0</x:v>
      </x:c>
      <x:c r="AD56" s="83" t="n">
        <x:f>0</x:f>
        <x:v>0</x:v>
      </x:c>
      <x:c r="AE56" s="83" t="n">
        <x:f>0</x:f>
        <x:v>0</x:v>
      </x:c>
      <x:c r="AF56" s="83" t="n">
        <x:f>0</x:f>
        <x:v>0</x:v>
      </x:c>
      <x:c r="AG56" s="83" t="n">
        <x:f>0</x:f>
        <x:v>0</x:v>
      </x:c>
      <x:c r="AH56" s="83" t="n">
        <x:f>0</x:f>
        <x:v>0</x:v>
      </x:c>
      <x:c r="AI56" s="83" t="n">
        <x:f>0</x:f>
        <x:v>0</x:v>
      </x:c>
      <x:c r="AJ56" s="83" t="n">
        <x:f>0</x:f>
        <x:v>0</x:v>
      </x:c>
      <x:c r="AK56" s="83" t="n">
        <x:f>0</x:f>
        <x:v>0</x:v>
      </x:c>
      <x:c r="AL56" s="83" t="n">
        <x:f>0</x:f>
        <x:v>0</x:v>
      </x:c>
      <x:c r="AM56" s="83" t="n">
        <x:f>0</x:f>
        <x:v>0</x:v>
      </x:c>
      <x:c r="AN56" s="83" t="n">
        <x:f>0</x:f>
        <x:v>0</x:v>
      </x:c>
      <x:c r="AO56" s="83" t="n">
        <x:f>0</x:f>
        <x:v>0</x:v>
      </x:c>
      <x:c r="AP56" s="83" t="n">
        <x:f>0</x:f>
        <x:v>0</x:v>
      </x:c>
      <x:c r="AQ56" s="83" t="n">
        <x:f>0</x:f>
        <x:v>0</x:v>
      </x:c>
      <x:c r="AR56" s="83" t="n">
        <x:f>0</x:f>
        <x:v>0</x:v>
      </x:c>
      <x:c r="AS56" s="83" t="n">
        <x:f>0</x:f>
        <x:v>0</x:v>
      </x:c>
      <x:c r="AT56" s="83" t="n">
        <x:f>0</x:f>
        <x:v>0</x:v>
      </x:c>
      <x:c r="AU56" s="83" t="n">
        <x:f>0</x:f>
        <x:v>0</x:v>
      </x:c>
      <x:c r="AV56" s="83" t="n">
        <x:f>0</x:f>
        <x:v>0</x:v>
      </x:c>
      <x:c r="AW56" s="83" t="n">
        <x:f>0</x:f>
        <x:v>0</x:v>
      </x:c>
      <x:c r="AX56" s="83" t="n">
        <x:f>0</x:f>
        <x:v>0</x:v>
      </x:c>
      <x:c r="AY56" s="83" t="n">
        <x:f>0</x:f>
        <x:v>0</x:v>
      </x:c>
      <x:c r="AZ56" s="83" t="n">
        <x:f>0</x:f>
        <x:v>0</x:v>
      </x:c>
      <x:c r="BA56" s="83" t="n">
        <x:f>0</x:f>
        <x:v>0</x:v>
      </x:c>
      <x:c r="BB56" s="83" t="n">
        <x:f>0</x:f>
        <x:v>0</x:v>
      </x:c>
      <x:c r="BC56" s="83" t="n">
        <x:f>0</x:f>
        <x:v>0</x:v>
      </x:c>
      <x:c r="BD56" s="83" t="n">
        <x:f>0</x:f>
        <x:v>0</x:v>
      </x:c>
      <x:c r="BE56" s="83" t="n">
        <x:f>0</x:f>
        <x:v>0</x:v>
      </x:c>
      <x:c r="BF56" s="83" t="n">
        <x:f>0</x:f>
        <x:v>0</x:v>
      </x:c>
      <x:c r="BG56" s="83" t="n">
        <x:f>0</x:f>
        <x:v>0</x:v>
      </x:c>
      <x:c r="BH56" s="83" t="n">
        <x:f>0</x:f>
        <x:v>0</x:v>
      </x:c>
      <x:c r="BI56" s="83" t="n">
        <x:f>0</x:f>
        <x:v>0</x:v>
      </x:c>
      <x:c r="BJ56" s="83" t="n">
        <x:f>0</x:f>
        <x:v>0</x:v>
      </x:c>
      <x:c r="BK56" s="83" t="n">
        <x:f>0</x:f>
        <x:v>0</x:v>
      </x:c>
      <x:c r="BL56" s="83" t="n">
        <x:f>0</x:f>
        <x:v>0</x:v>
      </x:c>
    </x:row>
    <x:row r="57" ht="23" customHeight="1">
      <x:c r="A57" s="2"/>
      <x:c r="B57" s="2"/>
      <x:c r="C57" s="106" t="str">
        <x:v>Total operating expense</x:v>
      </x:c>
      <x:c r="D57" s="107"/>
      <x:c r="E57" s="112" t="n">
        <x:f>SUM(E51,E54:E56)</x:f>
        <x:v>812309.0537780803</x:v>
      </x:c>
      <x:c r="F57" s="112" t="n">
        <x:f>SUM(F51,F54:F56)</x:f>
        <x:v>512309.0537780803</x:v>
      </x:c>
      <x:c r="G57" s="112" t="n">
        <x:f>SUM(G51,G54:G56)</x:f>
        <x:v>512309.0537780803</x:v>
      </x:c>
      <x:c r="H57" s="112" t="n">
        <x:f>SUM(H51,H54:H56)</x:f>
        <x:v>512309.0537780803</x:v>
      </x:c>
      <x:c r="I57" s="112" t="n">
        <x:f>SUM(I51,I54:I56)</x:f>
        <x:v>512309.0537780803</x:v>
      </x:c>
      <x:c r="J57" s="112" t="n">
        <x:f>SUM(J51,J54:J56)</x:f>
        <x:v>512309.0537780803</x:v>
      </x:c>
      <x:c r="K57" s="112" t="n">
        <x:f>SUM(K51,K54:K56)</x:f>
        <x:v>512309.0537780803</x:v>
      </x:c>
      <x:c r="L57" s="112" t="n">
        <x:f>SUM(L51,L54:L56)</x:f>
        <x:v>512309.0537780803</x:v>
      </x:c>
      <x:c r="M57" s="112" t="n">
        <x:f>SUM(M51,M54:M56)</x:f>
        <x:v>512309.0537780803</x:v>
      </x:c>
      <x:c r="N57" s="112" t="n">
        <x:f>SUM(N51,N54:N56)</x:f>
        <x:v>512309.0537780803</x:v>
      </x:c>
      <x:c r="O57" s="112" t="n">
        <x:f>SUM(O51,O54:O56)</x:f>
        <x:v>512309.0537780803</x:v>
      </x:c>
      <x:c r="P57" s="112" t="n">
        <x:f>SUM(P51,P54:P56)</x:f>
        <x:v>512309.0537780803</x:v>
      </x:c>
      <x:c r="Q57" s="112" t="n">
        <x:f>SUM(Q51,Q54:Q56)</x:f>
        <x:v>1738058.2028590878</x:v>
      </x:c>
      <x:c r="R57" s="113" t="n">
        <x:f>SUM(R51,R54:R56)</x:f>
        <x:v>1738058.2028590878</x:v>
      </x:c>
      <x:c r="S57" s="113" t="n">
        <x:f>SUM(S51,S54:S56)</x:f>
        <x:v>1738058.2028590878</x:v>
      </x:c>
      <x:c r="T57" s="113" t="n">
        <x:f>SUM(T51,T54:T56)</x:f>
        <x:v>1738058.2028590878</x:v>
      </x:c>
      <x:c r="U57" s="113" t="n">
        <x:f>SUM(U51,U54:U56)</x:f>
        <x:v>1738058.2028590878</x:v>
      </x:c>
      <x:c r="V57" s="113" t="n">
        <x:f>SUM(V51,V54:V56)</x:f>
        <x:v>1738058.2028590878</x:v>
      </x:c>
      <x:c r="W57" s="113" t="n">
        <x:f>SUM(W51,W54:W56)</x:f>
        <x:v>1738058.2028590878</x:v>
      </x:c>
      <x:c r="X57" s="113" t="n">
        <x:f>SUM(X51,X54:X56)</x:f>
        <x:v>1738058.2028590878</x:v>
      </x:c>
      <x:c r="Y57" s="113" t="n">
        <x:f>SUM(Y51,Y54:Y56)</x:f>
        <x:v>1738058.2028590878</x:v>
      </x:c>
      <x:c r="Z57" s="113" t="n">
        <x:f>SUM(Z51,Z54:Z56)</x:f>
        <x:v>1738058.2028590878</x:v>
      </x:c>
      <x:c r="AA57" s="113" t="n">
        <x:f>SUM(AA51,AA54:AA56)</x:f>
        <x:v>1738058.2028590878</x:v>
      </x:c>
      <x:c r="AB57" s="113" t="n">
        <x:f>SUM(AB51,AB54:AB56)</x:f>
        <x:v>1738058.2028590878</x:v>
      </x:c>
      <x:c r="AC57" s="113" t="n">
        <x:f>SUM(AC51,AC54:AC56)</x:f>
        <x:v>5072232.811436351</x:v>
      </x:c>
      <x:c r="AD57" s="113" t="n">
        <x:f>SUM(AD51,AD54:AD56)</x:f>
        <x:v>5072232.811436351</x:v>
      </x:c>
      <x:c r="AE57" s="113" t="n">
        <x:f>SUM(AE51,AE54:AE56)</x:f>
        <x:v>5072232.811436351</x:v>
      </x:c>
      <x:c r="AF57" s="113" t="n">
        <x:f>SUM(AF51,AF54:AF56)</x:f>
        <x:v>5072232.811436351</x:v>
      </x:c>
      <x:c r="AG57" s="113" t="n">
        <x:f>SUM(AG51,AG54:AG56)</x:f>
        <x:v>5072232.811436351</x:v>
      </x:c>
      <x:c r="AH57" s="113" t="n">
        <x:f>SUM(AH51,AH54:AH56)</x:f>
        <x:v>5072232.811436351</x:v>
      </x:c>
      <x:c r="AI57" s="113" t="n">
        <x:f>SUM(AI51,AI54:AI56)</x:f>
        <x:v>5072232.811436351</x:v>
      </x:c>
      <x:c r="AJ57" s="113" t="n">
        <x:f>SUM(AJ51,AJ54:AJ56)</x:f>
        <x:v>5072232.811436351</x:v>
      </x:c>
      <x:c r="AK57" s="113" t="n">
        <x:f>SUM(AK51,AK54:AK56)</x:f>
        <x:v>5072232.811436351</x:v>
      </x:c>
      <x:c r="AL57" s="113" t="n">
        <x:f>SUM(AL51,AL54:AL56)</x:f>
        <x:v>5072232.811436351</x:v>
      </x:c>
      <x:c r="AM57" s="113" t="n">
        <x:f>SUM(AM51,AM54:AM56)</x:f>
        <x:v>5072232.811436351</x:v>
      </x:c>
      <x:c r="AN57" s="113" t="n">
        <x:f>SUM(AN51,AN54:AN56)</x:f>
        <x:v>5072232.811436351</x:v>
      </x:c>
      <x:c r="AO57" s="113" t="n">
        <x:f>SUM(AO51,AO54:AO56)</x:f>
        <x:v>11835023.825731792</x:v>
      </x:c>
      <x:c r="AP57" s="113" t="n">
        <x:f>SUM(AP51,AP54:AP56)</x:f>
        <x:v>11835023.825731792</x:v>
      </x:c>
      <x:c r="AQ57" s="113" t="n">
        <x:f>SUM(AQ51,AQ54:AQ56)</x:f>
        <x:v>11835023.825731792</x:v>
      </x:c>
      <x:c r="AR57" s="113" t="n">
        <x:f>SUM(AR51,AR54:AR56)</x:f>
        <x:v>11835023.825731792</x:v>
      </x:c>
      <x:c r="AS57" s="113" t="n">
        <x:f>SUM(AS51,AS54:AS56)</x:f>
        <x:v>11835023.825731792</x:v>
      </x:c>
      <x:c r="AT57" s="113" t="n">
        <x:f>SUM(AT51,AT54:AT56)</x:f>
        <x:v>11835023.825731792</x:v>
      </x:c>
      <x:c r="AU57" s="113" t="n">
        <x:f>SUM(AU51,AU54:AU56)</x:f>
        <x:v>11835023.825731792</x:v>
      </x:c>
      <x:c r="AV57" s="113" t="n">
        <x:f>SUM(AV51,AV54:AV56)</x:f>
        <x:v>11835023.825731792</x:v>
      </x:c>
      <x:c r="AW57" s="113" t="n">
        <x:f>SUM(AW51,AW54:AW56)</x:f>
        <x:v>11835023.825731792</x:v>
      </x:c>
      <x:c r="AX57" s="113" t="n">
        <x:f>SUM(AX51,AX54:AX56)</x:f>
        <x:v>11835023.825731792</x:v>
      </x:c>
      <x:c r="AY57" s="113" t="n">
        <x:f>SUM(AY51,AY54:AY56)</x:f>
        <x:v>11835023.825731792</x:v>
      </x:c>
      <x:c r="AZ57" s="113" t="n">
        <x:f>SUM(AZ51,AZ54:AZ56)</x:f>
        <x:v>11835023.825731792</x:v>
      </x:c>
      <x:c r="BA57" s="113" t="n">
        <x:f>SUM(BA51,BA54:BA56)</x:f>
        <x:v>24166099.387338325</x:v>
      </x:c>
      <x:c r="BB57" s="113" t="n">
        <x:f>SUM(BB51,BB54:BB56)</x:f>
        <x:v>24166099.387338325</x:v>
      </x:c>
      <x:c r="BC57" s="113" t="n">
        <x:f>SUM(BC51,BC54:BC56)</x:f>
        <x:v>24166099.387338325</x:v>
      </x:c>
      <x:c r="BD57" s="113" t="n">
        <x:f>SUM(BD51,BD54:BD56)</x:f>
        <x:v>24166099.387338325</x:v>
      </x:c>
      <x:c r="BE57" s="113" t="n">
        <x:f>SUM(BE51,BE54:BE56)</x:f>
        <x:v>24166099.387338325</x:v>
      </x:c>
      <x:c r="BF57" s="113" t="n">
        <x:f>SUM(BF51,BF54:BF56)</x:f>
        <x:v>24166099.387338325</x:v>
      </x:c>
      <x:c r="BG57" s="113" t="n">
        <x:f>SUM(BG51,BG54:BG56)</x:f>
        <x:v>24166099.387338325</x:v>
      </x:c>
      <x:c r="BH57" s="113" t="n">
        <x:f>SUM(BH51,BH54:BH56)</x:f>
        <x:v>24166099.387338325</x:v>
      </x:c>
      <x:c r="BI57" s="113" t="n">
        <x:f>SUM(BI51,BI54:BI56)</x:f>
        <x:v>24166099.387338325</x:v>
      </x:c>
      <x:c r="BJ57" s="113" t="n">
        <x:f>SUM(BJ51,BJ54:BJ56)</x:f>
        <x:v>24166099.387338325</x:v>
      </x:c>
      <x:c r="BK57" s="113" t="n">
        <x:f>SUM(BK51,BK54:BK56)</x:f>
        <x:v>24166099.387338325</x:v>
      </x:c>
      <x:c r="BL57" s="113" t="n">
        <x:f>SUM(BL51,BL54:BL56)</x:f>
        <x:v>24166099.387338325</x:v>
      </x:c>
    </x:row>
    <x:row r="58" ht="23" customHeight="1">
      <x:c r="A58" s="2"/>
      <x:c r="B58" s="2"/>
      <x:c r="C58" s="106" t="str">
        <x:v>Operating profit before D&amp;A / tax</x:v>
      </x:c>
      <x:c r="D58" s="107"/>
      <x:c r="E58" s="112" t="n">
        <x:f>E46-E57</x:f>
        <x:v>-785951.9703993646</x:v>
      </x:c>
      <x:c r="F58" s="112" t="n">
        <x:f>F46-F57</x:f>
        <x:v>-465044.92881706374</x:v>
      </x:c>
      <x:c r="G58" s="112" t="n">
        <x:f>G46-G57</x:f>
        <x:v>-444296.28706343897</x:v>
      </x:c>
      <x:c r="H58" s="112" t="n">
        <x:f>H46-H57</x:f>
        <x:v>-423704.83993538877</x:v>
      </x:c>
      <x:c r="I58" s="112" t="n">
        <x:f>I46-I57</x:f>
        <x:v>-403269.3914374677</x:v>
      </x:c>
      <x:c r="J58" s="112" t="n">
        <x:f>J46-J57</x:f>
        <x:v>-382988.7547112631</x:v>
      </x:c>
      <x:c r="K58" s="112" t="n">
        <x:f>K46-K57</x:f>
        <x:v>-362861.75196531496</x:v>
      </x:c>
      <x:c r="L58" s="112" t="n">
        <x:f>L46-L57</x:f>
        <x:v>-342887.2144055762</x:v>
      </x:c>
      <x:c r="M58" s="112" t="n">
        <x:f>M46-M57</x:f>
        <x:v>-323063.9821664074</x:v>
      </x:c>
      <x:c r="N58" s="112" t="n">
        <x:f>N46-N57</x:f>
        <x:v>-303390.90424210334</x:v>
      </x:c>
      <x:c r="O58" s="112" t="n">
        <x:f>O46-O57</x:f>
        <x:v>-283866.83841894654</x:v>
      </x:c>
      <x:c r="P58" s="112" t="n">
        <x:f>P46-P57</x:f>
        <x:v>-264490.65120778343</x:v>
      </x:c>
      <x:c r="Q58" s="112" t="n">
        <x:f>Q46-Q57</x:f>
        <x:v>-1399882.3446711474</x:v>
      </x:c>
      <x:c r="R58" s="113" t="n">
        <x:f>R46-R57</x:f>
        <x:v>-1258380.451626557</x:v>
      </x:c>
      <x:c r="S58" s="113" t="n">
        <x:f>S46-S57</x:f>
        <x:v>-1117956.0366211263</x:v>
      </x:c>
      <x:c r="T58" s="113" t="n">
        <x:f>T46-T57</x:f>
        <x:v>-978600.8615902779</x:v>
      </x:c>
      <x:c r="U58" s="113" t="n">
        <x:f>U46-U57</x:f>
        <x:v>-840306.7517016337</x:v>
      </x:c>
      <x:c r="V58" s="113" t="n">
        <x:f>V46-V57</x:f>
        <x:v>-703065.5948678624</x:v>
      </x:c>
      <x:c r="W58" s="113" t="n">
        <x:f>W46-W57</x:f>
        <x:v>-566869.3412632945</x:v>
      </x:c>
      <x:c r="X58" s="113" t="n">
        <x:f>X46-X57</x:f>
        <x:v>-431710.00284427474</x:v>
      </x:c>
      <x:c r="Y58" s="113" t="n">
        <x:f>Y46-Y57</x:f>
        <x:v>-297579.65287322155</x:v>
      </x:c>
      <x:c r="Z58" s="113" t="n">
        <x:f>Z46-Z57</x:f>
        <x:v>-164470.4254463669</x:v>
      </x:c>
      <x:c r="AA58" s="113" t="n">
        <x:f>AA46-AA57</x:f>
        <x:v>-32374.51502514677</x:v>
      </x:c>
      <x:c r="AB58" s="113" t="n">
        <x:f>AB46-AB57</x:f>
        <x:v>98715.8240287879</x:v>
      </x:c>
      <x:c r="AC58" s="113" t="n">
        <x:f>AC46-AC57</x:f>
        <x:v>-2973945.5109995357</x:v>
      </x:c>
      <x:c r="AD58" s="113" t="n">
        <x:f>AD46-AD57</x:f>
        <x:v>-2476267.392030639</x:v>
      </x:c>
      <x:c r="AE58" s="113" t="n">
        <x:f>AE46-AE57</x:f>
        <x:v>-1982360.70820637</x:v>
      </x:c>
      <x:c r="AF58" s="113" t="n">
        <x:f>AF46-AF57</x:f>
        <x:v>-1492196.7579742195</x:v>
      </x:c>
      <x:c r="AG58" s="113" t="n">
        <x:f>AG46-AG57</x:f>
        <x:v>-1005747.0591046019</x:v>
      </x:c>
      <x:c r="AH58" s="113" t="n">
        <x:f>AH46-AH57</x:f>
        <x:v>-522983.34700829163</x:v>
      </x:c>
      <x:c r="AI58" s="113" t="n">
        <x:f>AI46-AI57</x:f>
        <x:v>-43877.57306682505</x:v>
      </x:c>
      <x:c r="AJ58" s="113" t="n">
        <x:f>AJ46-AJ57</x:f>
        <x:v>431598.0970242433</x:v>
      </x:c>
      <x:c r="AK58" s="113" t="n">
        <x:f>AK46-AK57</x:f>
        <x:v>903471.2848993279</x:v>
      </x:c>
      <x:c r="AL58" s="113" t="n">
        <x:f>AL46-AL57</x:f>
        <x:v>1371769.4011541437</x:v>
      </x:c>
      <x:c r="AM58" s="113" t="n">
        <x:f>AM46-AM57</x:f>
        <x:v>1836519.6469644746</x:v>
      </x:c>
      <x:c r="AN58" s="113" t="n">
        <x:f>AN46-AN57</x:f>
        <x:v>2297749.0156924743</x:v>
      </x:c>
      <x:c r="AO58" s="113" t="n">
        <x:f>AO46-AO57</x:f>
        <x:v>-3779117.980828125</x:v>
      </x:c>
      <x:c r="AP58" s="113" t="n">
        <x:f>AP46-AP57</x:f>
        <x:v>-2627952.6690721847</x:v>
      </x:c>
      <x:c r="AQ58" s="113" t="n">
        <x:f>AQ46-AQ57</x:f>
        <x:v>-1485573.08381024</x:v>
      </x:c>
      <x:c r="AR58" s="113" t="n">
        <x:f>AR46-AR57</x:f>
        <x:v>-351911.9044023417</x:v>
      </x:c>
      <x:c r="AS58" s="113" t="n">
        <x:f>AS46-AS57</x:f>
        <x:v>773097.6719825491</x:v>
      </x:c>
      <x:c r="AT58" s="113" t="n">
        <x:f>AT46-AT57</x:f>
        <x:v>1889521.9343637303</x:v>
      </x:c>
      <x:c r="AU58" s="113" t="n">
        <x:f>AU46-AU57</x:f>
        <x:v>2997426.661914982</x:v>
      </x:c>
      <x:c r="AV58" s="113" t="n">
        <x:f>AV46-AV57</x:f>
        <x:v>4096877.127900053</x:v>
      </x:c>
      <x:c r="AW58" s="113" t="n">
        <x:f>AW46-AW57</x:f>
        <x:v>5187938.103577696</x:v>
      </x:c>
      <x:c r="AX58" s="113" t="n">
        <x:f>AX46-AX57</x:f>
        <x:v>6270673.8620764315</x:v>
      </x:c>
      <x:c r="AY58" s="113" t="n">
        <x:f>AY46-AY57</x:f>
        <x:v>7345148.1822393015</x:v>
      </x:c>
      <x:c r="AZ58" s="113" t="n">
        <x:f>AZ46-AZ57</x:f>
        <x:v>8411424.35243887</x:v>
      </x:c>
      <x:c r="BA58" s="113" t="n">
        <x:f>BA46-BA57</x:f>
        <x:v>-2287749.6554557756</x:v>
      </x:c>
      <x:c r="BB58" s="113" t="n">
        <x:f>BB46-BB57</x:f>
        <x:v>-7390.542281072587</x:v>
      </x:c>
      <x:c r="BC58" s="113" t="n">
        <x:f>BC46-BC57</x:f>
        <x:v>2255540.461676404</x:v>
      </x:c>
      <x:c r="BD58" s="113" t="n">
        <x:f>BD46-BD57</x:f>
        <x:v>4501177.077944592</x:v>
      </x:c>
      <x:c r="BE58" s="113" t="n">
        <x:f>BE46-BE57</x:f>
        <x:v>6729651.998202585</x:v>
      </x:c>
      <x:c r="BF58" s="113" t="n">
        <x:f>BF46-BF57</x:f>
        <x:v>8941096.89224004</x:v>
      </x:c>
      <x:c r="BG58" s="113" t="n">
        <x:f>BG46-BG57</x:f>
        <x:v>11135642.41585473</x:v>
      </x:c>
      <x:c r="BH58" s="113" t="n">
        <x:f>BH46-BH57</x:f>
        <x:v>13313418.218688928</x:v>
      </x:c>
      <x:c r="BI58" s="113" t="n">
        <x:f>BI46-BI57</x:f>
        <x:v>15474552.952005006</x:v>
      </x:c>
      <x:c r="BJ58" s="113" t="n">
        <x:f>BJ46-BJ57</x:f>
        <x:v>17619174.276400805</x:v>
      </x:c>
      <x:c r="BK58" s="113" t="n">
        <x:f>BK46-BK57</x:f>
        <x:v>19747408.869465046</x:v>
      </x:c>
      <x:c r="BL58" s="113" t="n">
        <x:f>BL46-BL57</x:f>
        <x:v>21859382.433373533</x:v>
      </x:c>
    </x:row>
    <x:row r="59" ht="23" customHeight="1">
      <x:c r="A59" s="2"/>
      <x:c r="B59" s="2"/>
      <x:c r="C59" s="118" t="str">
        <x:v>Operating margin before D&amp;A / tax</x:v>
      </x:c>
      <x:c r="D59" s="119"/>
      <x:c r="E59" s="120" t="n">
        <x:f>IF(E35=0,"n.a.",E58/E35)</x:f>
        <x:v>-6.379332556738057</x:v>
      </x:c>
      <x:c r="F59" s="120" t="n">
        <x:f>IF(F35=0,"n.a.",F58/F35)</x:f>
        <x:v>-3.1633100368301923</x:v>
      </x:c>
      <x:c r="G59" s="120" t="n">
        <x:f>IF(G35=0,"n.a.",G58/G35)</x:f>
        <x:v>-2.603692042265319</x:v>
      </x:c>
      <x:c r="H59" s="120" t="n">
        <x:f>IF(H35=0,"n.a.",H58/H35)</x:f>
        <x:v>-2.183027448081555</x:v>
      </x:c>
      <x:c r="I59" s="120" t="n">
        <x:f>IF(I35=0,"n.a.",I58/I35)</x:f>
        <x:v>-1.8552867535086905</x:v>
      </x:c>
      <x:c r="J59" s="120" t="n">
        <x:f>IF(J35=0,"n.a.",J58/J35)</x:f>
        <x:v>-1.5927490513042377</x:v>
      </x:c>
      <x:c r="K59" s="120" t="n">
        <x:f>IF(K35=0,"n.a.",K58/K35)</x:f>
        <x:v>-1.377722369672107</x:v>
      </x:c>
      <x:c r="L59" s="120" t="n">
        <x:f>IF(L35=0,"n.a.",L58/L35)</x:f>
        <x:v>-1.1983844871171667</x:v>
      </x:c>
      <x:c r="M59" s="120" t="n">
        <x:f>IF(M35=0,"n.a.",M58/M35)</x:f>
        <x:v>-1.0465350832877593</x:v>
      </x:c>
      <x:c r="N59" s="120" t="n">
        <x:f>IF(N35=0,"n.a.",N58/N35)</x:f>
        <x:v>-0.9163073903459644</x:v>
      </x:c>
      <x:c r="O59" s="120" t="n">
        <x:f>IF(O35=0,"n.a.",O58/O35)</x:f>
        <x:v>-0.8033932543765805</x:v>
      </x:c>
      <x:c r="P59" s="120" t="n">
        <x:f>IF(P35=0,"n.a.",P58/P35)</x:f>
        <x:v>-0.7045577785254561</x:v>
      </x:c>
      <x:c r="Q59" s="120" t="n">
        <x:f>IF(Q35=0,"n.a.",Q58/Q35)</x:f>
        <x:v>-2.1835965917999753</x:v>
      </x:c>
      <x:c r="R59" s="121" t="n">
        <x:f>IF(R35=0,"n.a.",R58/R35)</x:f>
        <x:v>-1.5703624595896457</x:v>
      </x:c>
      <x:c r="S59" s="121" t="n">
        <x:f>IF(S35=0,"n.a.",S58/S35)</x:f>
        <x:v>-1.164111505291464</x:v>
      </x:c>
      <x:c r="T59" s="121" t="n">
        <x:f>IF(T35=0,"n.a.",T58/T35)</x:f>
        <x:v>-0.8751886625077316</x:v>
      </x:c>
      <x:c r="U59" s="121" t="n">
        <x:f>IF(U35=0,"n.a.",U58/U35)</x:f>
        <x:v>-0.6591850167516995</x:v>
      </x:c>
      <x:c r="V59" s="121" t="n">
        <x:f>IF(V35=0,"n.a.",V58/V35)</x:f>
        <x:v>-0.49159261480116223</x:v>
      </x:c>
      <x:c r="W59" s="121" t="n">
        <x:f>IF(W35=0,"n.a.",W58/W35)</x:f>
        <x:v>-0.35777978513564934</x:v>
      </x:c>
      <x:c r="X59" s="121" t="n">
        <x:f>IF(X35=0,"n.a.",X58/X35)</x:f>
        <x:v>-0.24847150751312289</x:v>
      </x:c>
      <x:c r="Y59" s="121" t="n">
        <x:f>IF(Y35=0,"n.a.",Y58/Y35)</x:f>
        <x:v>-0.15750362285493658</x:v>
      </x:c>
      <x:c r="Z59" s="121" t="n">
        <x:f>IF(Z35=0,"n.a.",Z58/Z35)</x:f>
        <x:v>-0.0806194969171457</x:v>
      </x:c>
      <x:c r="AA59" s="121" t="n">
        <x:f>IF(AA35=0,"n.a.",AA58/AA35)</x:f>
        <x:v>-0.014785140546849096</x:v>
      </x:c>
      <x:c r="AB59" s="121" t="n">
        <x:f>IF(AB35=0,"n.a.",AB58/AB35)</x:f>
        <x:v>0.04222035966759202</x:v>
      </x:c>
      <x:c r="AC59" s="121" t="n">
        <x:f>IF(AC35=0,"n.a.",AC58/AC35)</x:f>
        <x:v>-0.9981815501457912</x:v>
      </x:c>
      <x:c r="AD59" s="121" t="n">
        <x:f>IF(AD35=0,"n.a.",AD58/AD35)</x:f>
        <x:v>-0.6994242497905037</x:v>
      </x:c>
      <x:c r="AE59" s="121" t="n">
        <x:f>IF(AE35=0,"n.a.",AE58/AE35)</x:f>
        <x:v>-0.48382644147746967</x:v>
      </x:c>
      <x:c r="AF59" s="121" t="n">
        <x:f>IF(AF35=0,"n.a.",AF58/AF35)</x:f>
        <x:v>-0.320912697423662</x:v>
      </x:c>
      <x:c r="AG59" s="121" t="n">
        <x:f>IF(AG35=0,"n.a.",AG58/AG35)</x:f>
        <x:v>-0.19347765596601166</x:v>
      </x:c>
      <x:c r="AH59" s="121" t="n">
        <x:f>IF(AH35=0,"n.a.",AH58/AH35)</x:f>
        <x:v>-0.09107228549263247</x:v>
      </x:c>
      <x:c r="AI59" s="121" t="n">
        <x:f>IF(AI35=0,"n.a.",AI58/AI35)</x:f>
        <x:v>-0.006983949325359951</x:v>
      </x:c>
      <x:c r="AJ59" s="121" t="n">
        <x:f>IF(AJ35=0,"n.a.",AJ58/AJ35)</x:f>
        <x:v>0.06329663560964484</x:v>
      </x:c>
      <x:c r="AK59" s="121" t="n">
        <x:f>IF(AK35=0,"n.a.",AK58/AK35)</x:f>
        <x:v>0.12291087478126562</x:v>
      </x:c>
      <x:c r="AL59" s="121" t="n">
        <x:f>IF(AL35=0,"n.a.",AL58/AL35)</x:f>
        <x:v>0.1741144110465739</x:v>
      </x:c>
      <x:c r="AM59" s="121" t="n">
        <x:f>IF(AM35=0,"n.a.",AM58/AM35)</x:f>
        <x:v>0.2185687583730675</x:v>
      </x:c>
      <x:c r="AN59" s="121" t="n">
        <x:f>IF(AN35=0,"n.a.",AN58/AN35)</x:f>
        <x:v>0.25752483109720314</x:v>
      </x:c>
      <x:c r="AO59" s="121" t="n">
        <x:f>IF(AO35=0,"n.a.",AO58/AO35)</x:f>
        <x:v>-0.3685328444664103</x:v>
      </x:c>
      <x:c r="AP59" s="121" t="n">
        <x:f>IF(AP35=0,"n.a.",AP58/AP35)</x:f>
        <x:v>-0.22754582183344485</x:v>
      </x:c>
      <x:c r="AQ59" s="121" t="n">
        <x:f>IF(AQ35=0,"n.a.",AQ58/AQ35)</x:f>
        <x:v>-0.11575430555571845</x:v>
      </x:c>
      <x:c r="AR59" s="121" t="n">
        <x:f>IF(AR35=0,"n.a.",AR58/AR35)</x:f>
        <x:v>-0.02494277757092399</x:v>
      </x:c>
      <x:c r="AS59" s="121" t="n">
        <x:f>IF(AS35=0,"n.a.",AS58/AS35)</x:f>
        <x:v>0.050286188316208465</x:v>
      </x:c>
      <x:c r="AT59" s="121" t="n">
        <x:f>IF(AT35=0,"n.a.",AT58/AT35)</x:f>
        <x:v>0.11362481957797635</x:v>
      </x:c>
      <x:c r="AU59" s="121" t="n">
        <x:f>IF(AU35=0,"n.a.",AU58/AU35)</x:f>
        <x:v>0.1676842520383154</x:v>
      </x:c>
      <x:c r="AV59" s="121" t="n">
        <x:f>IF(AV35=0,"n.a.",AV58/AV35)</x:f>
        <x:v>0.21436322360028737</x:v>
      </x:c>
      <x:c r="AW59" s="121" t="n">
        <x:f>IF(AW35=0,"n.a.",AW58/AW35)</x:f>
        <x:v>0.25507551599534733</x:v>
      </x:c>
      <x:c r="AX59" s="121" t="n">
        <x:f>IF(AX35=0,"n.a.",AX58/AX35)</x:f>
        <x:v>0.2908954901812496</x:v>
      </x:c>
      <x:c r="AY59" s="121" t="n">
        <x:f>IF(AY35=0,"n.a.",AY58/AY35)</x:f>
        <x:v>0.3226541790645621</x:v>
      </x:c>
      <x:c r="AZ59" s="121" t="n">
        <x:f>IF(AZ35=0,"n.a.",AZ58/AZ35)</x:f>
        <x:v>0.3510044840748059</x:v>
      </x:c>
      <x:c r="BA59" s="121" t="n">
        <x:f>IF(BA35=0,"n.a.",BA58/BA35)</x:f>
        <x:v>-0.08558111097114296</x:v>
      </x:c>
      <x:c r="BB59" s="121" t="n">
        <x:f>IF(BB35=0,"n.a.",BB58/BB35)</x:f>
        <x:v>-0.00025233569447547785</x:v>
      </x:c>
      <x:c r="BC59" s="121" t="n">
        <x:f>IF(BC35=0,"n.a.",BC58/BC35)</x:f>
        <x:v>0.07087196155113717</x:v>
      </x:c>
      <x:c r="BD59" s="121" t="n">
        <x:f>IF(BD35=0,"n.a.",BD58/BD35)</x:f>
        <x:v>0.1310645684415425</x:v>
      </x:c>
      <x:c r="BE59" s="121" t="n">
        <x:f>IF(BE35=0,"n.a.",BE58/BE35)</x:f>
        <x:v>0.1826645598787652</x:v>
      </x:c>
      <x:c r="BF59" s="121" t="n">
        <x:f>IF(BF35=0,"n.a.",BF58/BF35)</x:f>
        <x:v>0.22738811014667698</x:v>
      </x:c>
      <x:c r="BG59" s="121" t="n">
        <x:f>IF(BG35=0,"n.a.",BG58/BG35)</x:f>
        <x:v>0.2665228998837939</x:v>
      </x:c>
      <x:c r="BH59" s="121" t="n">
        <x:f>IF(BH35=0,"n.a.",BH58/BH35)</x:f>
        <x:v>0.30105399159945606</x:v>
      </x:c>
      <x:c r="BI59" s="121" t="n">
        <x:f>IF(BI35=0,"n.a.",BI58/BI35)</x:f>
        <x:v>0.33174779449028785</x:v>
      </x:c>
      <x:c r="BJ59" s="121" t="n">
        <x:f>IF(BJ35=0,"n.a.",BJ58/BJ35)</x:f>
        <x:v>0.35920954267342114</x:v>
      </x:c>
      <x:c r="BK59" s="121" t="n">
        <x:f>IF(BK35=0,"n.a.",BK58/BK35)</x:f>
        <x:v>0.3839235476335687</x:v>
      </x:c>
      <x:c r="BL59" s="121" t="n">
        <x:f>IF(BL35=0,"n.a.",BL58/BL35)</x:f>
        <x:v>0.40628196120424037</x:v>
      </x:c>
    </x:row>
    <x:row r="60" ht="23" customHeight="1">
      <x:c r="A60" s="2"/>
      <x:c r="B60" s="2"/>
      <x:c r="C60" s="20" t="str">
        <x:v>Cash forecast</x:v>
      </x:c>
      <x:c r="D60" s="21"/>
      <x:c r="E60" s="21"/>
      <x:c r="F60" s="21"/>
      <x:c r="G60" s="21"/>
      <x:c r="H60" s="21"/>
      <x:c r="I60" s="21"/>
      <x:c r="J60" s="21"/>
      <x:c r="K60" s="21"/>
      <x:c r="L60" s="21"/>
      <x:c r="M60" s="21"/>
      <x:c r="N60" s="21"/>
      <x:c r="O60" s="21"/>
      <x:c r="P60" s="21"/>
      <x:c r="Q60" s="21"/>
      <x:c r="R60" s="62"/>
      <x:c r="S60" s="62"/>
      <x:c r="T60" s="62"/>
      <x:c r="U60" s="62"/>
      <x:c r="V60" s="62"/>
      <x:c r="W60" s="62"/>
      <x:c r="X60" s="62"/>
      <x:c r="Y60" s="62"/>
      <x:c r="Z60" s="62"/>
      <x:c r="AA60" s="62"/>
      <x:c r="AB60" s="62"/>
      <x:c r="AC60" s="62"/>
      <x:c r="AD60" s="62"/>
      <x:c r="AE60" s="62"/>
      <x:c r="AF60" s="62"/>
      <x:c r="AG60" s="62"/>
      <x:c r="AH60" s="62"/>
      <x:c r="AI60" s="62"/>
      <x:c r="AJ60" s="62"/>
      <x:c r="AK60" s="62"/>
      <x:c r="AL60" s="62"/>
      <x:c r="AM60" s="62"/>
      <x:c r="AN60" s="62"/>
      <x:c r="AO60" s="62"/>
      <x:c r="AP60" s="62"/>
      <x:c r="AQ60" s="62"/>
      <x:c r="AR60" s="62"/>
      <x:c r="AS60" s="62"/>
      <x:c r="AT60" s="62"/>
      <x:c r="AU60" s="62"/>
      <x:c r="AV60" s="62"/>
      <x:c r="AW60" s="62"/>
      <x:c r="AX60" s="62"/>
      <x:c r="AY60" s="62"/>
      <x:c r="AZ60" s="62"/>
      <x:c r="BA60" s="62"/>
      <x:c r="BB60" s="62"/>
      <x:c r="BC60" s="62"/>
      <x:c r="BD60" s="62"/>
      <x:c r="BE60" s="62"/>
      <x:c r="BF60" s="62"/>
      <x:c r="BG60" s="62"/>
      <x:c r="BH60" s="62"/>
      <x:c r="BI60" s="62"/>
      <x:c r="BJ60" s="62"/>
      <x:c r="BK60" s="62"/>
      <x:c r="BL60" s="62"/>
    </x:row>
    <x:row r="61" ht="23" customHeight="1">
      <x:c r="A61" s="2"/>
      <x:c r="B61" s="2"/>
      <x:c r="C61" s="4" t="str">
        <x:v>Opening cash</x:v>
      </x:c>
      <x:c r="D61" s="2"/>
      <x:c r="E61" s="69" t="n">
        <x:f>'Assumptions'!$D$9</x:f>
        <x:v>3000000</x:v>
      </x:c>
      <x:c r="F61" s="67" t="n">
        <x:f>E67</x:f>
        <x:v>1914048.0296006354</x:v>
      </x:c>
      <x:c r="G61" s="67" t="n">
        <x:f>F67</x:f>
        <x:v>1449003.1007835716</x:v>
      </x:c>
      <x:c r="H61" s="67" t="n">
        <x:f>G67</x:f>
        <x:v>1004706.8137201327</x:v>
      </x:c>
      <x:c r="I61" s="67" t="n">
        <x:f>H67</x:f>
        <x:v>22406001.973784745</x:v>
      </x:c>
      <x:c r="J61" s="67" t="n">
        <x:f>I67</x:f>
        <x:v>22002732.582347278</x:v>
      </x:c>
      <x:c r="K61" s="67" t="n">
        <x:f>J67</x:f>
        <x:v>21619743.827636015</x:v>
      </x:c>
      <x:c r="L61" s="67" t="n">
        <x:f>K67</x:f>
        <x:v>21256882.0756707</x:v>
      </x:c>
      <x:c r="M61" s="67" t="n">
        <x:f>L67</x:f>
        <x:v>20913994.861265123</x:v>
      </x:c>
      <x:c r="N61" s="67" t="n">
        <x:f>M67</x:f>
        <x:v>20590930.879098717</x:v>
      </x:c>
      <x:c r="O61" s="67" t="n">
        <x:f>N67</x:f>
        <x:v>20287539.974856615</x:v>
      </x:c>
      <x:c r="P61" s="67" t="n">
        <x:f>O67</x:f>
        <x:v>20003673.13643767</x:v>
      </x:c>
      <x:c r="Q61" s="67" t="n">
        <x:f>P67</x:f>
        <x:v>19739182.485229887</x:v>
      </x:c>
      <x:c r="R61" s="83" t="n">
        <x:f>Q67</x:f>
        <x:v>18039300.14055874</x:v>
      </x:c>
      <x:c r="S61" s="83" t="n">
        <x:f>R67</x:f>
        <x:v>16780919.68893218</x:v>
      </x:c>
      <x:c r="T61" s="83" t="n">
        <x:f>S67</x:f>
        <x:v>15662963.652311053</x:v>
      </x:c>
      <x:c r="U61" s="83" t="n">
        <x:f>T67</x:f>
        <x:v>14684362.790720776</x:v>
      </x:c>
      <x:c r="V61" s="83" t="n">
        <x:f>U67</x:f>
        <x:v>13844056.039019141</x:v>
      </x:c>
      <x:c r="W61" s="83" t="n">
        <x:f>V67</x:f>
        <x:v>13140990.444151279</x:v>
      </x:c>
      <x:c r="X61" s="83" t="n">
        <x:f>W67</x:f>
        <x:v>12574121.102887984</x:v>
      </x:c>
      <x:c r="Y61" s="83" t="n">
        <x:f>X67</x:f>
        <x:v>77617411.10004371</x:v>
      </x:c>
      <x:c r="Z61" s="83" t="n">
        <x:f>Y67</x:f>
        <x:v>77319831.4471705</x:v>
      </x:c>
      <x:c r="AA61" s="83" t="n">
        <x:f>Z67</x:f>
        <x:v>77155361.02172413</x:v>
      </x:c>
      <x:c r="AB61" s="83" t="n">
        <x:f>AA67</x:f>
        <x:v>77122986.50669898</x:v>
      </x:c>
      <x:c r="AC61" s="83" t="n">
        <x:f>AB67</x:f>
        <x:v>77221702.33072777</x:v>
      </x:c>
      <x:c r="AD61" s="83" t="n">
        <x:f>AC67</x:f>
        <x:v>73947756.81972824</x:v>
      </x:c>
      <x:c r="AE61" s="83" t="n">
        <x:f>AD67</x:f>
        <x:v>71471489.4276976</x:v>
      </x:c>
      <x:c r="AF61" s="83" t="n">
        <x:f>AE67</x:f>
        <x:v>69489128.71949123</x:v>
      </x:c>
      <x:c r="AG61" s="83" t="n">
        <x:f>AF67</x:f>
        <x:v>67996931.961517</x:v>
      </x:c>
      <x:c r="AH61" s="83" t="n">
        <x:f>AG67</x:f>
        <x:v>66991184.90241241</x:v>
      </x:c>
      <x:c r="AI61" s="83" t="n">
        <x:f>AH67</x:f>
        <x:v>66468201.55540411</x:v>
      </x:c>
      <x:c r="AJ61" s="83" t="n">
        <x:f>AI67</x:f>
        <x:v>66424323.98233729</x:v>
      </x:c>
      <x:c r="AK61" s="83" t="n">
        <x:f>AJ67</x:f>
        <x:v>66855922.07936153</x:v>
      </x:c>
      <x:c r="AL61" s="83" t="n">
        <x:f>AK67</x:f>
        <x:v>67759393.36426085</x:v>
      </x:c>
      <x:c r="AM61" s="83" t="n">
        <x:f>AL67</x:f>
        <x:v>69131162.765415</x:v>
      </x:c>
      <x:c r="AN61" s="83" t="n">
        <x:f>AM67</x:f>
        <x:v>70967682.41237947</x:v>
      </x:c>
      <x:c r="AO61" s="83" t="n">
        <x:f>AN67</x:f>
        <x:v>73265431.42807195</x:v>
      </x:c>
      <x:c r="AP61" s="83" t="n">
        <x:f>AO67</x:f>
        <x:v>69186313.44724382</x:v>
      </x:c>
      <x:c r="AQ61" s="83" t="n">
        <x:f>AP67</x:f>
        <x:v>66558360.77817164</x:v>
      </x:c>
      <x:c r="AR61" s="83" t="n">
        <x:f>AQ67</x:f>
        <x:v>65072787.6943614</x:v>
      </x:c>
      <x:c r="AS61" s="83" t="n">
        <x:f>AR67</x:f>
        <x:v>64720875.78995906</x:v>
      </x:c>
      <x:c r="AT61" s="83" t="n">
        <x:f>AS67</x:f>
        <x:v>65493973.46194161</x:v>
      </x:c>
      <x:c r="AU61" s="83" t="n">
        <x:f>AT67</x:f>
        <x:v>67383495.39630534</x:v>
      </x:c>
      <x:c r="AV61" s="83" t="n">
        <x:f>AU67</x:f>
        <x:v>70380922.05822033</x:v>
      </x:c>
      <x:c r="AW61" s="83" t="n">
        <x:f>AV67</x:f>
        <x:v>74477799.18612038</x:v>
      </x:c>
      <x:c r="AX61" s="83" t="n">
        <x:f>AW67</x:f>
        <x:v>79665737.28969806</x:v>
      </x:c>
      <x:c r="AY61" s="83" t="n">
        <x:f>AX67</x:f>
        <x:v>85936411.1517745</x:v>
      </x:c>
      <x:c r="AZ61" s="83" t="n">
        <x:f>AY67</x:f>
        <x:v>93281559.33401379</x:v>
      </x:c>
      <x:c r="BA61" s="83" t="n">
        <x:f>AZ67</x:f>
        <x:v>101692983.68645266</x:v>
      </x:c>
      <x:c r="BB61" s="83" t="n">
        <x:f>BA67</x:f>
        <x:v>99105234.03099689</x:v>
      </x:c>
      <x:c r="BC61" s="83" t="n">
        <x:f>BB67</x:f>
        <x:v>99097843.48871581</x:v>
      </x:c>
      <x:c r="BD61" s="83" t="n">
        <x:f>BC67</x:f>
        <x:v>101353383.95039222</x:v>
      </x:c>
      <x:c r="BE61" s="83" t="n">
        <x:f>BD67</x:f>
        <x:v>105854561.02833681</x:v>
      </x:c>
      <x:c r="BF61" s="83" t="n">
        <x:f>BE67</x:f>
        <x:v>112584213.02653939</x:v>
      </x:c>
      <x:c r="BG61" s="83" t="n">
        <x:f>BF67</x:f>
        <x:v>121525309.91877943</x:v>
      </x:c>
      <x:c r="BH61" s="83" t="n">
        <x:f>BG67</x:f>
        <x:v>132660952.33463416</x:v>
      </x:c>
      <x:c r="BI61" s="83" t="n">
        <x:f>BH67</x:f>
        <x:v>145974370.5533231</x:v>
      </x:c>
      <x:c r="BJ61" s="83" t="n">
        <x:f>BI67</x:f>
        <x:v>161448923.5053281</x:v>
      </x:c>
      <x:c r="BK61" s="83" t="n">
        <x:f>BJ67</x:f>
        <x:v>179068097.7817289</x:v>
      </x:c>
      <x:c r="BL61" s="83" t="n">
        <x:f>BK67</x:f>
        <x:v>198815506.65119395</x:v>
      </x:c>
    </x:row>
    <x:row r="62" ht="23" customHeight="1">
      <x:c r="A62" s="2"/>
      <x:c r="B62" s="2"/>
      <x:c r="C62" s="4" t="str">
        <x:v>Operating cash before capex / tax</x:v>
      </x:c>
      <x:c r="D62" s="2"/>
      <x:c r="E62" s="67" t="n">
        <x:f>E58</x:f>
        <x:v>-785951.9703993646</x:v>
      </x:c>
      <x:c r="F62" s="67" t="n">
        <x:f>F58</x:f>
        <x:v>-465044.92881706374</x:v>
      </x:c>
      <x:c r="G62" s="67" t="n">
        <x:f>G58</x:f>
        <x:v>-444296.28706343897</x:v>
      </x:c>
      <x:c r="H62" s="67" t="n">
        <x:f>H58</x:f>
        <x:v>-423704.83993538877</x:v>
      </x:c>
      <x:c r="I62" s="67" t="n">
        <x:f>I58</x:f>
        <x:v>-403269.3914374677</x:v>
      </x:c>
      <x:c r="J62" s="67" t="n">
        <x:f>J58</x:f>
        <x:v>-382988.7547112631</x:v>
      </x:c>
      <x:c r="K62" s="67" t="n">
        <x:f>K58</x:f>
        <x:v>-362861.75196531496</x:v>
      </x:c>
      <x:c r="L62" s="67" t="n">
        <x:f>L58</x:f>
        <x:v>-342887.2144055762</x:v>
      </x:c>
      <x:c r="M62" s="67" t="n">
        <x:f>M58</x:f>
        <x:v>-323063.9821664074</x:v>
      </x:c>
      <x:c r="N62" s="67" t="n">
        <x:f>N58</x:f>
        <x:v>-303390.90424210334</x:v>
      </x:c>
      <x:c r="O62" s="67" t="n">
        <x:f>O58</x:f>
        <x:v>-283866.83841894654</x:v>
      </x:c>
      <x:c r="P62" s="67" t="n">
        <x:f>P58</x:f>
        <x:v>-264490.65120778343</x:v>
      </x:c>
      <x:c r="Q62" s="67" t="n">
        <x:f>Q58</x:f>
        <x:v>-1399882.3446711474</x:v>
      </x:c>
      <x:c r="R62" s="83" t="n">
        <x:f>R58</x:f>
        <x:v>-1258380.451626557</x:v>
      </x:c>
      <x:c r="S62" s="83" t="n">
        <x:f>S58</x:f>
        <x:v>-1117956.0366211263</x:v>
      </x:c>
      <x:c r="T62" s="83" t="n">
        <x:f>T58</x:f>
        <x:v>-978600.8615902779</x:v>
      </x:c>
      <x:c r="U62" s="83" t="n">
        <x:f>U58</x:f>
        <x:v>-840306.7517016337</x:v>
      </x:c>
      <x:c r="V62" s="83" t="n">
        <x:f>V58</x:f>
        <x:v>-703065.5948678624</x:v>
      </x:c>
      <x:c r="W62" s="83" t="n">
        <x:f>W58</x:f>
        <x:v>-566869.3412632945</x:v>
      </x:c>
      <x:c r="X62" s="83" t="n">
        <x:f>X58</x:f>
        <x:v>-431710.00284427474</x:v>
      </x:c>
      <x:c r="Y62" s="83" t="n">
        <x:f>Y58</x:f>
        <x:v>-297579.65287322155</x:v>
      </x:c>
      <x:c r="Z62" s="83" t="n">
        <x:f>Z58</x:f>
        <x:v>-164470.4254463669</x:v>
      </x:c>
      <x:c r="AA62" s="83" t="n">
        <x:f>AA58</x:f>
        <x:v>-32374.51502514677</x:v>
      </x:c>
      <x:c r="AB62" s="83" t="n">
        <x:f>AB58</x:f>
        <x:v>98715.8240287879</x:v>
      </x:c>
      <x:c r="AC62" s="83" t="n">
        <x:f>AC58</x:f>
        <x:v>-2973945.5109995357</x:v>
      </x:c>
      <x:c r="AD62" s="83" t="n">
        <x:f>AD58</x:f>
        <x:v>-2476267.392030639</x:v>
      </x:c>
      <x:c r="AE62" s="83" t="n">
        <x:f>AE58</x:f>
        <x:v>-1982360.70820637</x:v>
      </x:c>
      <x:c r="AF62" s="83" t="n">
        <x:f>AF58</x:f>
        <x:v>-1492196.7579742195</x:v>
      </x:c>
      <x:c r="AG62" s="83" t="n">
        <x:f>AG58</x:f>
        <x:v>-1005747.0591046019</x:v>
      </x:c>
      <x:c r="AH62" s="83" t="n">
        <x:f>AH58</x:f>
        <x:v>-522983.34700829163</x:v>
      </x:c>
      <x:c r="AI62" s="83" t="n">
        <x:f>AI58</x:f>
        <x:v>-43877.57306682505</x:v>
      </x:c>
      <x:c r="AJ62" s="83" t="n">
        <x:f>AJ58</x:f>
        <x:v>431598.0970242433</x:v>
      </x:c>
      <x:c r="AK62" s="83" t="n">
        <x:f>AK58</x:f>
        <x:v>903471.2848993279</x:v>
      </x:c>
      <x:c r="AL62" s="83" t="n">
        <x:f>AL58</x:f>
        <x:v>1371769.4011541437</x:v>
      </x:c>
      <x:c r="AM62" s="83" t="n">
        <x:f>AM58</x:f>
        <x:v>1836519.6469644746</x:v>
      </x:c>
      <x:c r="AN62" s="83" t="n">
        <x:f>AN58</x:f>
        <x:v>2297749.0156924743</x:v>
      </x:c>
      <x:c r="AO62" s="83" t="n">
        <x:f>AO58</x:f>
        <x:v>-3779117.980828125</x:v>
      </x:c>
      <x:c r="AP62" s="83" t="n">
        <x:f>AP58</x:f>
        <x:v>-2627952.6690721847</x:v>
      </x:c>
      <x:c r="AQ62" s="83" t="n">
        <x:f>AQ58</x:f>
        <x:v>-1485573.08381024</x:v>
      </x:c>
      <x:c r="AR62" s="83" t="n">
        <x:f>AR58</x:f>
        <x:v>-351911.9044023417</x:v>
      </x:c>
      <x:c r="AS62" s="83" t="n">
        <x:f>AS58</x:f>
        <x:v>773097.6719825491</x:v>
      </x:c>
      <x:c r="AT62" s="83" t="n">
        <x:f>AT58</x:f>
        <x:v>1889521.9343637303</x:v>
      </x:c>
      <x:c r="AU62" s="83" t="n">
        <x:f>AU58</x:f>
        <x:v>2997426.661914982</x:v>
      </x:c>
      <x:c r="AV62" s="83" t="n">
        <x:f>AV58</x:f>
        <x:v>4096877.127900053</x:v>
      </x:c>
      <x:c r="AW62" s="83" t="n">
        <x:f>AW58</x:f>
        <x:v>5187938.103577696</x:v>
      </x:c>
      <x:c r="AX62" s="83" t="n">
        <x:f>AX58</x:f>
        <x:v>6270673.8620764315</x:v>
      </x:c>
      <x:c r="AY62" s="83" t="n">
        <x:f>AY58</x:f>
        <x:v>7345148.1822393015</x:v>
      </x:c>
      <x:c r="AZ62" s="83" t="n">
        <x:f>AZ58</x:f>
        <x:v>8411424.35243887</x:v>
      </x:c>
      <x:c r="BA62" s="83" t="n">
        <x:f>BA58</x:f>
        <x:v>-2287749.6554557756</x:v>
      </x:c>
      <x:c r="BB62" s="83" t="n">
        <x:f>BB58</x:f>
        <x:v>-7390.542281072587</x:v>
      </x:c>
      <x:c r="BC62" s="83" t="n">
        <x:f>BC58</x:f>
        <x:v>2255540.461676404</x:v>
      </x:c>
      <x:c r="BD62" s="83" t="n">
        <x:f>BD58</x:f>
        <x:v>4501177.077944592</x:v>
      </x:c>
      <x:c r="BE62" s="83" t="n">
        <x:f>BE58</x:f>
        <x:v>6729651.998202585</x:v>
      </x:c>
      <x:c r="BF62" s="83" t="n">
        <x:f>BF58</x:f>
        <x:v>8941096.89224004</x:v>
      </x:c>
      <x:c r="BG62" s="83" t="n">
        <x:f>BG58</x:f>
        <x:v>11135642.41585473</x:v>
      </x:c>
      <x:c r="BH62" s="83" t="n">
        <x:f>BH58</x:f>
        <x:v>13313418.218688928</x:v>
      </x:c>
      <x:c r="BI62" s="83" t="n">
        <x:f>BI58</x:f>
        <x:v>15474552.952005006</x:v>
      </x:c>
      <x:c r="BJ62" s="83" t="n">
        <x:f>BJ58</x:f>
        <x:v>17619174.276400805</x:v>
      </x:c>
      <x:c r="BK62" s="83" t="n">
        <x:f>BK58</x:f>
        <x:v>19747408.869465046</x:v>
      </x:c>
      <x:c r="BL62" s="83" t="n">
        <x:f>BL58</x:f>
        <x:v>21859382.433373533</x:v>
      </x:c>
    </x:row>
    <x:row r="63" ht="23" customHeight="1">
      <x:c r="A63" s="2"/>
      <x:c r="B63" s="2"/>
      <x:c r="C63" s="4" t="str">
        <x:v>Cash capex</x:v>
      </x:c>
      <x:c r="D63" s="2"/>
      <x:c r="E63" s="69" t="n">
        <x:f>IF(MOD(0,12)=0,'Assumptions'!$D$29,0)</x:f>
        <x:v>300000</x:v>
      </x:c>
      <x:c r="F63" s="69" t="n">
        <x:f>IF(MOD(1,12)=0,'Assumptions'!$D$29,0)</x:f>
        <x:v>0</x:v>
      </x:c>
      <x:c r="G63" s="69" t="n">
        <x:f>IF(MOD(2,12)=0,'Assumptions'!$D$29,0)</x:f>
        <x:v>0</x:v>
      </x:c>
      <x:c r="H63" s="69" t="n">
        <x:f>IF(MOD(3,12)=0,'Assumptions'!$D$29,0)</x:f>
        <x:v>0</x:v>
      </x:c>
      <x:c r="I63" s="69" t="n">
        <x:f>IF(MOD(4,12)=0,'Assumptions'!$D$29,0)</x:f>
        <x:v>0</x:v>
      </x:c>
      <x:c r="J63" s="69" t="n">
        <x:f>IF(MOD(5,12)=0,'Assumptions'!$D$29,0)</x:f>
        <x:v>0</x:v>
      </x:c>
      <x:c r="K63" s="69" t="n">
        <x:f>IF(MOD(6,12)=0,'Assumptions'!$D$29,0)</x:f>
        <x:v>0</x:v>
      </x:c>
      <x:c r="L63" s="69" t="n">
        <x:f>IF(MOD(7,12)=0,'Assumptions'!$D$29,0)</x:f>
        <x:v>0</x:v>
      </x:c>
      <x:c r="M63" s="69" t="n">
        <x:f>IF(MOD(8,12)=0,'Assumptions'!$D$29,0)</x:f>
        <x:v>0</x:v>
      </x:c>
      <x:c r="N63" s="69" t="n">
        <x:f>IF(MOD(9,12)=0,'Assumptions'!$D$29,0)</x:f>
        <x:v>0</x:v>
      </x:c>
      <x:c r="O63" s="69" t="n">
        <x:f>IF(MOD(10,12)=0,'Assumptions'!$D$29,0)</x:f>
        <x:v>0</x:v>
      </x:c>
      <x:c r="P63" s="69" t="n">
        <x:f>IF(MOD(11,12)=0,'Assumptions'!$D$29,0)</x:f>
        <x:v>0</x:v>
      </x:c>
      <x:c r="Q63" s="69" t="n">
        <x:f>IF(MOD(12,12)=0,'Assumptions'!$D$29,0)</x:f>
        <x:v>300000</x:v>
      </x:c>
      <x:c r="R63" s="86" t="n">
        <x:f>IF(MOD(13,12)=0,'Assumptions'!$D$29,0)</x:f>
        <x:v>0</x:v>
      </x:c>
      <x:c r="S63" s="86" t="n">
        <x:f>IF(MOD(14,12)=0,'Assumptions'!$D$29,0)</x:f>
        <x:v>0</x:v>
      </x:c>
      <x:c r="T63" s="86" t="n">
        <x:f>IF(MOD(15,12)=0,'Assumptions'!$D$29,0)</x:f>
        <x:v>0</x:v>
      </x:c>
      <x:c r="U63" s="86" t="n">
        <x:f>IF(MOD(16,12)=0,'Assumptions'!$D$29,0)</x:f>
        <x:v>0</x:v>
      </x:c>
      <x:c r="V63" s="86" t="n">
        <x:f>IF(MOD(17,12)=0,'Assumptions'!$D$29,0)</x:f>
        <x:v>0</x:v>
      </x:c>
      <x:c r="W63" s="86" t="n">
        <x:f>IF(MOD(18,12)=0,'Assumptions'!$D$29,0)</x:f>
        <x:v>0</x:v>
      </x:c>
      <x:c r="X63" s="86" t="n">
        <x:f>IF(MOD(19,12)=0,'Assumptions'!$D$29,0)</x:f>
        <x:v>0</x:v>
      </x:c>
      <x:c r="Y63" s="86" t="n">
        <x:f>IF(MOD(20,12)=0,'Assumptions'!$D$29,0)</x:f>
        <x:v>0</x:v>
      </x:c>
      <x:c r="Z63" s="86" t="n">
        <x:f>IF(MOD(21,12)=0,'Assumptions'!$D$29,0)</x:f>
        <x:v>0</x:v>
      </x:c>
      <x:c r="AA63" s="86" t="n">
        <x:f>IF(MOD(22,12)=0,'Assumptions'!$D$29,0)</x:f>
        <x:v>0</x:v>
      </x:c>
      <x:c r="AB63" s="86" t="n">
        <x:f>IF(MOD(23,12)=0,'Assumptions'!$D$29,0)</x:f>
        <x:v>0</x:v>
      </x:c>
      <x:c r="AC63" s="86" t="n">
        <x:f>IF(MOD(24,12)=0,'Assumptions'!$D$29,0)</x:f>
        <x:v>300000</x:v>
      </x:c>
      <x:c r="AD63" s="86" t="n">
        <x:f>IF(MOD(25,12)=0,'Assumptions'!$D$29,0)</x:f>
        <x:v>0</x:v>
      </x:c>
      <x:c r="AE63" s="86" t="n">
        <x:f>IF(MOD(26,12)=0,'Assumptions'!$D$29,0)</x:f>
        <x:v>0</x:v>
      </x:c>
      <x:c r="AF63" s="86" t="n">
        <x:f>IF(MOD(27,12)=0,'Assumptions'!$D$29,0)</x:f>
        <x:v>0</x:v>
      </x:c>
      <x:c r="AG63" s="86" t="n">
        <x:f>IF(MOD(28,12)=0,'Assumptions'!$D$29,0)</x:f>
        <x:v>0</x:v>
      </x:c>
      <x:c r="AH63" s="86" t="n">
        <x:f>IF(MOD(29,12)=0,'Assumptions'!$D$29,0)</x:f>
        <x:v>0</x:v>
      </x:c>
      <x:c r="AI63" s="86" t="n">
        <x:f>IF(MOD(30,12)=0,'Assumptions'!$D$29,0)</x:f>
        <x:v>0</x:v>
      </x:c>
      <x:c r="AJ63" s="86" t="n">
        <x:f>IF(MOD(31,12)=0,'Assumptions'!$D$29,0)</x:f>
        <x:v>0</x:v>
      </x:c>
      <x:c r="AK63" s="86" t="n">
        <x:f>IF(MOD(32,12)=0,'Assumptions'!$D$29,0)</x:f>
        <x:v>0</x:v>
      </x:c>
      <x:c r="AL63" s="86" t="n">
        <x:f>IF(MOD(33,12)=0,'Assumptions'!$D$29,0)</x:f>
        <x:v>0</x:v>
      </x:c>
      <x:c r="AM63" s="86" t="n">
        <x:f>IF(MOD(34,12)=0,'Assumptions'!$D$29,0)</x:f>
        <x:v>0</x:v>
      </x:c>
      <x:c r="AN63" s="86" t="n">
        <x:f>IF(MOD(35,12)=0,'Assumptions'!$D$29,0)</x:f>
        <x:v>0</x:v>
      </x:c>
      <x:c r="AO63" s="86" t="n">
        <x:f>IF(MOD(36,12)=0,'Assumptions'!$D$29,0)</x:f>
        <x:v>300000</x:v>
      </x:c>
      <x:c r="AP63" s="86" t="n">
        <x:f>IF(MOD(37,12)=0,'Assumptions'!$D$29,0)</x:f>
        <x:v>0</x:v>
      </x:c>
      <x:c r="AQ63" s="86" t="n">
        <x:f>IF(MOD(38,12)=0,'Assumptions'!$D$29,0)</x:f>
        <x:v>0</x:v>
      </x:c>
      <x:c r="AR63" s="86" t="n">
        <x:f>IF(MOD(39,12)=0,'Assumptions'!$D$29,0)</x:f>
        <x:v>0</x:v>
      </x:c>
      <x:c r="AS63" s="86" t="n">
        <x:f>IF(MOD(40,12)=0,'Assumptions'!$D$29,0)</x:f>
        <x:v>0</x:v>
      </x:c>
      <x:c r="AT63" s="86" t="n">
        <x:f>IF(MOD(41,12)=0,'Assumptions'!$D$29,0)</x:f>
        <x:v>0</x:v>
      </x:c>
      <x:c r="AU63" s="86" t="n">
        <x:f>IF(MOD(42,12)=0,'Assumptions'!$D$29,0)</x:f>
        <x:v>0</x:v>
      </x:c>
      <x:c r="AV63" s="86" t="n">
        <x:f>IF(MOD(43,12)=0,'Assumptions'!$D$29,0)</x:f>
        <x:v>0</x:v>
      </x:c>
      <x:c r="AW63" s="86" t="n">
        <x:f>IF(MOD(44,12)=0,'Assumptions'!$D$29,0)</x:f>
        <x:v>0</x:v>
      </x:c>
      <x:c r="AX63" s="86" t="n">
        <x:f>IF(MOD(45,12)=0,'Assumptions'!$D$29,0)</x:f>
        <x:v>0</x:v>
      </x:c>
      <x:c r="AY63" s="86" t="n">
        <x:f>IF(MOD(46,12)=0,'Assumptions'!$D$29,0)</x:f>
        <x:v>0</x:v>
      </x:c>
      <x:c r="AZ63" s="86" t="n">
        <x:f>IF(MOD(47,12)=0,'Assumptions'!$D$29,0)</x:f>
        <x:v>0</x:v>
      </x:c>
      <x:c r="BA63" s="86" t="n">
        <x:f>IF(MOD(48,12)=0,'Assumptions'!$D$29,0)</x:f>
        <x:v>300000</x:v>
      </x:c>
      <x:c r="BB63" s="86" t="n">
        <x:f>IF(MOD(49,12)=0,'Assumptions'!$D$29,0)</x:f>
        <x:v>0</x:v>
      </x:c>
      <x:c r="BC63" s="86" t="n">
        <x:f>IF(MOD(50,12)=0,'Assumptions'!$D$29,0)</x:f>
        <x:v>0</x:v>
      </x:c>
      <x:c r="BD63" s="86" t="n">
        <x:f>IF(MOD(51,12)=0,'Assumptions'!$D$29,0)</x:f>
        <x:v>0</x:v>
      </x:c>
      <x:c r="BE63" s="86" t="n">
        <x:f>IF(MOD(52,12)=0,'Assumptions'!$D$29,0)</x:f>
        <x:v>0</x:v>
      </x:c>
      <x:c r="BF63" s="86" t="n">
        <x:f>IF(MOD(53,12)=0,'Assumptions'!$D$29,0)</x:f>
        <x:v>0</x:v>
      </x:c>
      <x:c r="BG63" s="86" t="n">
        <x:f>IF(MOD(54,12)=0,'Assumptions'!$D$29,0)</x:f>
        <x:v>0</x:v>
      </x:c>
      <x:c r="BH63" s="86" t="n">
        <x:f>IF(MOD(55,12)=0,'Assumptions'!$D$29,0)</x:f>
        <x:v>0</x:v>
      </x:c>
      <x:c r="BI63" s="86" t="n">
        <x:f>IF(MOD(56,12)=0,'Assumptions'!$D$29,0)</x:f>
        <x:v>0</x:v>
      </x:c>
      <x:c r="BJ63" s="86" t="n">
        <x:f>IF(MOD(57,12)=0,'Assumptions'!$D$29,0)</x:f>
        <x:v>0</x:v>
      </x:c>
      <x:c r="BK63" s="86" t="n">
        <x:f>IF(MOD(58,12)=0,'Assumptions'!$D$29,0)</x:f>
        <x:v>0</x:v>
      </x:c>
      <x:c r="BL63" s="86" t="n">
        <x:f>IF(MOD(59,12)=0,'Assumptions'!$D$29,0)</x:f>
        <x:v>0</x:v>
      </x:c>
    </x:row>
    <x:row r="64" ht="23" customHeight="1">
      <x:c r="A64" s="2"/>
      <x:c r="B64" s="2"/>
      <x:c r="C64" s="4" t="str">
        <x:v>Gross financing proceeds</x:v>
      </x:c>
      <x:c r="D64" s="2"/>
      <x:c r="E64" s="69" t="n">
        <x:f>SUMIFS('Funding'!$G$8:$G$12,'Funding'!$E$8:$E$12,1)</x:f>
        <x:v>0</x:v>
      </x:c>
      <x:c r="F64" s="69" t="n">
        <x:f>SUMIFS('Funding'!$G$8:$G$12,'Funding'!$E$8:$E$12,2)</x:f>
        <x:v>0</x:v>
      </x:c>
      <x:c r="G64" s="69" t="n">
        <x:f>SUMIFS('Funding'!$G$8:$G$12,'Funding'!$E$8:$E$12,3)</x:f>
        <x:v>0</x:v>
      </x:c>
      <x:c r="H64" s="69" t="n">
        <x:f>SUMIFS('Funding'!$G$8:$G$12,'Funding'!$E$8:$E$12,4)</x:f>
        <x:v>22500000</x:v>
      </x:c>
      <x:c r="I64" s="69" t="n">
        <x:f>SUMIFS('Funding'!$G$8:$G$12,'Funding'!$E$8:$E$12,5)</x:f>
        <x:v>0</x:v>
      </x:c>
      <x:c r="J64" s="69" t="n">
        <x:f>SUMIFS('Funding'!$G$8:$G$12,'Funding'!$E$8:$E$12,6)</x:f>
        <x:v>0</x:v>
      </x:c>
      <x:c r="K64" s="69" t="n">
        <x:f>SUMIFS('Funding'!$G$8:$G$12,'Funding'!$E$8:$E$12,7)</x:f>
        <x:v>0</x:v>
      </x:c>
      <x:c r="L64" s="69" t="n">
        <x:f>SUMIFS('Funding'!$G$8:$G$12,'Funding'!$E$8:$E$12,8)</x:f>
        <x:v>0</x:v>
      </x:c>
      <x:c r="M64" s="69" t="n">
        <x:f>SUMIFS('Funding'!$G$8:$G$12,'Funding'!$E$8:$E$12,9)</x:f>
        <x:v>0</x:v>
      </x:c>
      <x:c r="N64" s="69" t="n">
        <x:f>SUMIFS('Funding'!$G$8:$G$12,'Funding'!$E$8:$E$12,10)</x:f>
        <x:v>0</x:v>
      </x:c>
      <x:c r="O64" s="69" t="n">
        <x:f>SUMIFS('Funding'!$G$8:$G$12,'Funding'!$E$8:$E$12,11)</x:f>
        <x:v>0</x:v>
      </x:c>
      <x:c r="P64" s="69" t="n">
        <x:f>SUMIFS('Funding'!$G$8:$G$12,'Funding'!$E$8:$E$12,12)</x:f>
        <x:v>0</x:v>
      </x:c>
      <x:c r="Q64" s="69" t="n">
        <x:f>SUMIFS('Funding'!$G$8:$G$12,'Funding'!$E$8:$E$12,13)</x:f>
        <x:v>0</x:v>
      </x:c>
      <x:c r="R64" s="86" t="n">
        <x:f>SUMIFS('Funding'!$G$8:$G$12,'Funding'!$E$8:$E$12,14)</x:f>
        <x:v>0</x:v>
      </x:c>
      <x:c r="S64" s="86" t="n">
        <x:f>SUMIFS('Funding'!$G$8:$G$12,'Funding'!$E$8:$E$12,15)</x:f>
        <x:v>0</x:v>
      </x:c>
      <x:c r="T64" s="86" t="n">
        <x:f>SUMIFS('Funding'!$G$8:$G$12,'Funding'!$E$8:$E$12,16)</x:f>
        <x:v>0</x:v>
      </x:c>
      <x:c r="U64" s="86" t="n">
        <x:f>SUMIFS('Funding'!$G$8:$G$12,'Funding'!$E$8:$E$12,17)</x:f>
        <x:v>0</x:v>
      </x:c>
      <x:c r="V64" s="86" t="n">
        <x:f>SUMIFS('Funding'!$G$8:$G$12,'Funding'!$E$8:$E$12,18)</x:f>
        <x:v>0</x:v>
      </x:c>
      <x:c r="W64" s="86" t="n">
        <x:f>SUMIFS('Funding'!$G$8:$G$12,'Funding'!$E$8:$E$12,19)</x:f>
        <x:v>0</x:v>
      </x:c>
      <x:c r="X64" s="86" t="n">
        <x:f>SUMIFS('Funding'!$G$8:$G$12,'Funding'!$E$8:$E$12,20)</x:f>
        <x:v>67500000</x:v>
      </x:c>
      <x:c r="Y64" s="86" t="n">
        <x:f>SUMIFS('Funding'!$G$8:$G$12,'Funding'!$E$8:$E$12,21)</x:f>
        <x:v>0</x:v>
      </x:c>
      <x:c r="Z64" s="86" t="n">
        <x:f>SUMIFS('Funding'!$G$8:$G$12,'Funding'!$E$8:$E$12,22)</x:f>
        <x:v>0</x:v>
      </x:c>
      <x:c r="AA64" s="86" t="n">
        <x:f>SUMIFS('Funding'!$G$8:$G$12,'Funding'!$E$8:$E$12,23)</x:f>
        <x:v>0</x:v>
      </x:c>
      <x:c r="AB64" s="86" t="n">
        <x:f>SUMIFS('Funding'!$G$8:$G$12,'Funding'!$E$8:$E$12,24)</x:f>
        <x:v>0</x:v>
      </x:c>
      <x:c r="AC64" s="86" t="n">
        <x:f>SUMIFS('Funding'!$G$8:$G$12,'Funding'!$E$8:$E$12,25)</x:f>
        <x:v>0</x:v>
      </x:c>
      <x:c r="AD64" s="86" t="n">
        <x:f>SUMIFS('Funding'!$G$8:$G$12,'Funding'!$E$8:$E$12,26)</x:f>
        <x:v>0</x:v>
      </x:c>
      <x:c r="AE64" s="86" t="n">
        <x:f>SUMIFS('Funding'!$G$8:$G$12,'Funding'!$E$8:$E$12,27)</x:f>
        <x:v>0</x:v>
      </x:c>
      <x:c r="AF64" s="86" t="n">
        <x:f>SUMIFS('Funding'!$G$8:$G$12,'Funding'!$E$8:$E$12,28)</x:f>
        <x:v>0</x:v>
      </x:c>
      <x:c r="AG64" s="86" t="n">
        <x:f>SUMIFS('Funding'!$G$8:$G$12,'Funding'!$E$8:$E$12,29)</x:f>
        <x:v>0</x:v>
      </x:c>
      <x:c r="AH64" s="86" t="n">
        <x:f>SUMIFS('Funding'!$G$8:$G$12,'Funding'!$E$8:$E$12,30)</x:f>
        <x:v>0</x:v>
      </x:c>
      <x:c r="AI64" s="86" t="n">
        <x:f>SUMIFS('Funding'!$G$8:$G$12,'Funding'!$E$8:$E$12,31)</x:f>
        <x:v>0</x:v>
      </x:c>
      <x:c r="AJ64" s="86" t="n">
        <x:f>SUMIFS('Funding'!$G$8:$G$12,'Funding'!$E$8:$E$12,32)</x:f>
        <x:v>0</x:v>
      </x:c>
      <x:c r="AK64" s="86" t="n">
        <x:f>SUMIFS('Funding'!$G$8:$G$12,'Funding'!$E$8:$E$12,33)</x:f>
        <x:v>0</x:v>
      </x:c>
      <x:c r="AL64" s="86" t="n">
        <x:f>SUMIFS('Funding'!$G$8:$G$12,'Funding'!$E$8:$E$12,34)</x:f>
        <x:v>0</x:v>
      </x:c>
      <x:c r="AM64" s="86" t="n">
        <x:f>SUMIFS('Funding'!$G$8:$G$12,'Funding'!$E$8:$E$12,35)</x:f>
        <x:v>0</x:v>
      </x:c>
      <x:c r="AN64" s="86" t="n">
        <x:f>SUMIFS('Funding'!$G$8:$G$12,'Funding'!$E$8:$E$12,36)</x:f>
        <x:v>0</x:v>
      </x:c>
      <x:c r="AO64" s="86" t="n">
        <x:f>SUMIFS('Funding'!$G$8:$G$12,'Funding'!$E$8:$E$12,37)</x:f>
        <x:v>0</x:v>
      </x:c>
      <x:c r="AP64" s="86" t="n">
        <x:f>SUMIFS('Funding'!$G$8:$G$12,'Funding'!$E$8:$E$12,38)</x:f>
        <x:v>0</x:v>
      </x:c>
      <x:c r="AQ64" s="86" t="n">
        <x:f>SUMIFS('Funding'!$G$8:$G$12,'Funding'!$E$8:$E$12,39)</x:f>
        <x:v>0</x:v>
      </x:c>
      <x:c r="AR64" s="86" t="n">
        <x:f>SUMIFS('Funding'!$G$8:$G$12,'Funding'!$E$8:$E$12,40)</x:f>
        <x:v>0</x:v>
      </x:c>
      <x:c r="AS64" s="86" t="n">
        <x:f>SUMIFS('Funding'!$G$8:$G$12,'Funding'!$E$8:$E$12,41)</x:f>
        <x:v>0</x:v>
      </x:c>
      <x:c r="AT64" s="86" t="n">
        <x:f>SUMIFS('Funding'!$G$8:$G$12,'Funding'!$E$8:$E$12,42)</x:f>
        <x:v>0</x:v>
      </x:c>
      <x:c r="AU64" s="86" t="n">
        <x:f>SUMIFS('Funding'!$G$8:$G$12,'Funding'!$E$8:$E$12,43)</x:f>
        <x:v>0</x:v>
      </x:c>
      <x:c r="AV64" s="86" t="n">
        <x:f>SUMIFS('Funding'!$G$8:$G$12,'Funding'!$E$8:$E$12,44)</x:f>
        <x:v>0</x:v>
      </x:c>
      <x:c r="AW64" s="86" t="n">
        <x:f>SUMIFS('Funding'!$G$8:$G$12,'Funding'!$E$8:$E$12,45)</x:f>
        <x:v>0</x:v>
      </x:c>
      <x:c r="AX64" s="86" t="n">
        <x:f>SUMIFS('Funding'!$G$8:$G$12,'Funding'!$E$8:$E$12,46)</x:f>
        <x:v>0</x:v>
      </x:c>
      <x:c r="AY64" s="86" t="n">
        <x:f>SUMIFS('Funding'!$G$8:$G$12,'Funding'!$E$8:$E$12,47)</x:f>
        <x:v>0</x:v>
      </x:c>
      <x:c r="AZ64" s="86" t="n">
        <x:f>SUMIFS('Funding'!$G$8:$G$12,'Funding'!$E$8:$E$12,48)</x:f>
        <x:v>0</x:v>
      </x:c>
      <x:c r="BA64" s="86" t="n">
        <x:f>SUMIFS('Funding'!$G$8:$G$12,'Funding'!$E$8:$E$12,49)</x:f>
        <x:v>0</x:v>
      </x:c>
      <x:c r="BB64" s="86" t="n">
        <x:f>SUMIFS('Funding'!$G$8:$G$12,'Funding'!$E$8:$E$12,50)</x:f>
        <x:v>0</x:v>
      </x:c>
      <x:c r="BC64" s="86" t="n">
        <x:f>SUMIFS('Funding'!$G$8:$G$12,'Funding'!$E$8:$E$12,51)</x:f>
        <x:v>0</x:v>
      </x:c>
      <x:c r="BD64" s="86" t="n">
        <x:f>SUMIFS('Funding'!$G$8:$G$12,'Funding'!$E$8:$E$12,52)</x:f>
        <x:v>0</x:v>
      </x:c>
      <x:c r="BE64" s="86" t="n">
        <x:f>SUMIFS('Funding'!$G$8:$G$12,'Funding'!$E$8:$E$12,53)</x:f>
        <x:v>0</x:v>
      </x:c>
      <x:c r="BF64" s="86" t="n">
        <x:f>SUMIFS('Funding'!$G$8:$G$12,'Funding'!$E$8:$E$12,54)</x:f>
        <x:v>0</x:v>
      </x:c>
      <x:c r="BG64" s="86" t="n">
        <x:f>SUMIFS('Funding'!$G$8:$G$12,'Funding'!$E$8:$E$12,55)</x:f>
        <x:v>0</x:v>
      </x:c>
      <x:c r="BH64" s="86" t="n">
        <x:f>SUMIFS('Funding'!$G$8:$G$12,'Funding'!$E$8:$E$12,56)</x:f>
        <x:v>0</x:v>
      </x:c>
      <x:c r="BI64" s="86" t="n">
        <x:f>SUMIFS('Funding'!$G$8:$G$12,'Funding'!$E$8:$E$12,57)</x:f>
        <x:v>0</x:v>
      </x:c>
      <x:c r="BJ64" s="86" t="n">
        <x:f>SUMIFS('Funding'!$G$8:$G$12,'Funding'!$E$8:$E$12,58)</x:f>
        <x:v>0</x:v>
      </x:c>
      <x:c r="BK64" s="86" t="n">
        <x:f>SUMIFS('Funding'!$G$8:$G$12,'Funding'!$E$8:$E$12,59)</x:f>
        <x:v>0</x:v>
      </x:c>
      <x:c r="BL64" s="86" t="n">
        <x:f>SUMIFS('Funding'!$G$8:$G$12,'Funding'!$E$8:$E$12,60)</x:f>
        <x:v>0</x:v>
      </x:c>
    </x:row>
    <x:row r="65" ht="23" customHeight="1">
      <x:c r="A65" s="2"/>
      <x:c r="B65" s="2"/>
      <x:c r="C65" s="4" t="str">
        <x:v>Financing cash costs</x:v>
      </x:c>
      <x:c r="D65" s="2"/>
      <x:c r="E65" s="69" t="n">
        <x:f>E64*'Assumptions'!$D$30</x:f>
        <x:v>0</x:v>
      </x:c>
      <x:c r="F65" s="69" t="n">
        <x:f>F64*'Assumptions'!$D$30</x:f>
        <x:v>0</x:v>
      </x:c>
      <x:c r="G65" s="69" t="n">
        <x:f>G64*'Assumptions'!$D$30</x:f>
        <x:v>0</x:v>
      </x:c>
      <x:c r="H65" s="69" t="n">
        <x:f>H64*'Assumptions'!$D$30</x:f>
        <x:v>675000</x:v>
      </x:c>
      <x:c r="I65" s="69" t="n">
        <x:f>I64*'Assumptions'!$D$30</x:f>
        <x:v>0</x:v>
      </x:c>
      <x:c r="J65" s="69" t="n">
        <x:f>J64*'Assumptions'!$D$30</x:f>
        <x:v>0</x:v>
      </x:c>
      <x:c r="K65" s="69" t="n">
        <x:f>K64*'Assumptions'!$D$30</x:f>
        <x:v>0</x:v>
      </x:c>
      <x:c r="L65" s="69" t="n">
        <x:f>L64*'Assumptions'!$D$30</x:f>
        <x:v>0</x:v>
      </x:c>
      <x:c r="M65" s="69" t="n">
        <x:f>M64*'Assumptions'!$D$30</x:f>
        <x:v>0</x:v>
      </x:c>
      <x:c r="N65" s="69" t="n">
        <x:f>N64*'Assumptions'!$D$30</x:f>
        <x:v>0</x:v>
      </x:c>
      <x:c r="O65" s="69" t="n">
        <x:f>O64*'Assumptions'!$D$30</x:f>
        <x:v>0</x:v>
      </x:c>
      <x:c r="P65" s="69" t="n">
        <x:f>P64*'Assumptions'!$D$30</x:f>
        <x:v>0</x:v>
      </x:c>
      <x:c r="Q65" s="69" t="n">
        <x:f>Q64*'Assumptions'!$D$30</x:f>
        <x:v>0</x:v>
      </x:c>
      <x:c r="R65" s="86" t="n">
        <x:f>R64*'Assumptions'!$D$30</x:f>
        <x:v>0</x:v>
      </x:c>
      <x:c r="S65" s="86" t="n">
        <x:f>S64*'Assumptions'!$D$30</x:f>
        <x:v>0</x:v>
      </x:c>
      <x:c r="T65" s="86" t="n">
        <x:f>T64*'Assumptions'!$D$30</x:f>
        <x:v>0</x:v>
      </x:c>
      <x:c r="U65" s="86" t="n">
        <x:f>U64*'Assumptions'!$D$30</x:f>
        <x:v>0</x:v>
      </x:c>
      <x:c r="V65" s="86" t="n">
        <x:f>V64*'Assumptions'!$D$30</x:f>
        <x:v>0</x:v>
      </x:c>
      <x:c r="W65" s="86" t="n">
        <x:f>W64*'Assumptions'!$D$30</x:f>
        <x:v>0</x:v>
      </x:c>
      <x:c r="X65" s="86" t="n">
        <x:f>X64*'Assumptions'!$D$30</x:f>
        <x:v>2025000</x:v>
      </x:c>
      <x:c r="Y65" s="86" t="n">
        <x:f>Y64*'Assumptions'!$D$30</x:f>
        <x:v>0</x:v>
      </x:c>
      <x:c r="Z65" s="86" t="n">
        <x:f>Z64*'Assumptions'!$D$30</x:f>
        <x:v>0</x:v>
      </x:c>
      <x:c r="AA65" s="86" t="n">
        <x:f>AA64*'Assumptions'!$D$30</x:f>
        <x:v>0</x:v>
      </x:c>
      <x:c r="AB65" s="86" t="n">
        <x:f>AB64*'Assumptions'!$D$30</x:f>
        <x:v>0</x:v>
      </x:c>
      <x:c r="AC65" s="86" t="n">
        <x:f>AC64*'Assumptions'!$D$30</x:f>
        <x:v>0</x:v>
      </x:c>
      <x:c r="AD65" s="86" t="n">
        <x:f>AD64*'Assumptions'!$D$30</x:f>
        <x:v>0</x:v>
      </x:c>
      <x:c r="AE65" s="86" t="n">
        <x:f>AE64*'Assumptions'!$D$30</x:f>
        <x:v>0</x:v>
      </x:c>
      <x:c r="AF65" s="86" t="n">
        <x:f>AF64*'Assumptions'!$D$30</x:f>
        <x:v>0</x:v>
      </x:c>
      <x:c r="AG65" s="86" t="n">
        <x:f>AG64*'Assumptions'!$D$30</x:f>
        <x:v>0</x:v>
      </x:c>
      <x:c r="AH65" s="86" t="n">
        <x:f>AH64*'Assumptions'!$D$30</x:f>
        <x:v>0</x:v>
      </x:c>
      <x:c r="AI65" s="86" t="n">
        <x:f>AI64*'Assumptions'!$D$30</x:f>
        <x:v>0</x:v>
      </x:c>
      <x:c r="AJ65" s="86" t="n">
        <x:f>AJ64*'Assumptions'!$D$30</x:f>
        <x:v>0</x:v>
      </x:c>
      <x:c r="AK65" s="86" t="n">
        <x:f>AK64*'Assumptions'!$D$30</x:f>
        <x:v>0</x:v>
      </x:c>
      <x:c r="AL65" s="86" t="n">
        <x:f>AL64*'Assumptions'!$D$30</x:f>
        <x:v>0</x:v>
      </x:c>
      <x:c r="AM65" s="86" t="n">
        <x:f>AM64*'Assumptions'!$D$30</x:f>
        <x:v>0</x:v>
      </x:c>
      <x:c r="AN65" s="86" t="n">
        <x:f>AN64*'Assumptions'!$D$30</x:f>
        <x:v>0</x:v>
      </x:c>
      <x:c r="AO65" s="86" t="n">
        <x:f>AO64*'Assumptions'!$D$30</x:f>
        <x:v>0</x:v>
      </x:c>
      <x:c r="AP65" s="86" t="n">
        <x:f>AP64*'Assumptions'!$D$30</x:f>
        <x:v>0</x:v>
      </x:c>
      <x:c r="AQ65" s="86" t="n">
        <x:f>AQ64*'Assumptions'!$D$30</x:f>
        <x:v>0</x:v>
      </x:c>
      <x:c r="AR65" s="86" t="n">
        <x:f>AR64*'Assumptions'!$D$30</x:f>
        <x:v>0</x:v>
      </x:c>
      <x:c r="AS65" s="86" t="n">
        <x:f>AS64*'Assumptions'!$D$30</x:f>
        <x:v>0</x:v>
      </x:c>
      <x:c r="AT65" s="86" t="n">
        <x:f>AT64*'Assumptions'!$D$30</x:f>
        <x:v>0</x:v>
      </x:c>
      <x:c r="AU65" s="86" t="n">
        <x:f>AU64*'Assumptions'!$D$30</x:f>
        <x:v>0</x:v>
      </x:c>
      <x:c r="AV65" s="86" t="n">
        <x:f>AV64*'Assumptions'!$D$30</x:f>
        <x:v>0</x:v>
      </x:c>
      <x:c r="AW65" s="86" t="n">
        <x:f>AW64*'Assumptions'!$D$30</x:f>
        <x:v>0</x:v>
      </x:c>
      <x:c r="AX65" s="86" t="n">
        <x:f>AX64*'Assumptions'!$D$30</x:f>
        <x:v>0</x:v>
      </x:c>
      <x:c r="AY65" s="86" t="n">
        <x:f>AY64*'Assumptions'!$D$30</x:f>
        <x:v>0</x:v>
      </x:c>
      <x:c r="AZ65" s="86" t="n">
        <x:f>AZ64*'Assumptions'!$D$30</x:f>
        <x:v>0</x:v>
      </x:c>
      <x:c r="BA65" s="86" t="n">
        <x:f>BA64*'Assumptions'!$D$30</x:f>
        <x:v>0</x:v>
      </x:c>
      <x:c r="BB65" s="86" t="n">
        <x:f>BB64*'Assumptions'!$D$30</x:f>
        <x:v>0</x:v>
      </x:c>
      <x:c r="BC65" s="86" t="n">
        <x:f>BC64*'Assumptions'!$D$30</x:f>
        <x:v>0</x:v>
      </x:c>
      <x:c r="BD65" s="86" t="n">
        <x:f>BD64*'Assumptions'!$D$30</x:f>
        <x:v>0</x:v>
      </x:c>
      <x:c r="BE65" s="86" t="n">
        <x:f>BE64*'Assumptions'!$D$30</x:f>
        <x:v>0</x:v>
      </x:c>
      <x:c r="BF65" s="86" t="n">
        <x:f>BF64*'Assumptions'!$D$30</x:f>
        <x:v>0</x:v>
      </x:c>
      <x:c r="BG65" s="86" t="n">
        <x:f>BG64*'Assumptions'!$D$30</x:f>
        <x:v>0</x:v>
      </x:c>
      <x:c r="BH65" s="86" t="n">
        <x:f>BH64*'Assumptions'!$D$30</x:f>
        <x:v>0</x:v>
      </x:c>
      <x:c r="BI65" s="86" t="n">
        <x:f>BI64*'Assumptions'!$D$30</x:f>
        <x:v>0</x:v>
      </x:c>
      <x:c r="BJ65" s="86" t="n">
        <x:f>BJ64*'Assumptions'!$D$30</x:f>
        <x:v>0</x:v>
      </x:c>
      <x:c r="BK65" s="86" t="n">
        <x:f>BK64*'Assumptions'!$D$30</x:f>
        <x:v>0</x:v>
      </x:c>
      <x:c r="BL65" s="86" t="n">
        <x:f>BL64*'Assumptions'!$D$30</x:f>
        <x:v>0</x:v>
      </x:c>
    </x:row>
    <x:row r="66" ht="23" customHeight="1">
      <x:c r="A66" s="2"/>
      <x:c r="B66" s="2"/>
      <x:c r="C66" s="4" t="str">
        <x:v>Net cash change</x:v>
      </x:c>
      <x:c r="D66" s="2"/>
      <x:c r="E66" s="67" t="n">
        <x:f>E62-E63+E64-E65</x:f>
        <x:v>-1085951.9703993646</x:v>
      </x:c>
      <x:c r="F66" s="67" t="n">
        <x:f>F62-F63+F64-F65</x:f>
        <x:v>-465044.92881706374</x:v>
      </x:c>
      <x:c r="G66" s="67" t="n">
        <x:f>G62-G63+G64-G65</x:f>
        <x:v>-444296.28706343897</x:v>
      </x:c>
      <x:c r="H66" s="67" t="n">
        <x:f>H62-H63+H64-H65</x:f>
        <x:v>21401295.16006461</x:v>
      </x:c>
      <x:c r="I66" s="67" t="n">
        <x:f>I62-I63+I64-I65</x:f>
        <x:v>-403269.3914374677</x:v>
      </x:c>
      <x:c r="J66" s="67" t="n">
        <x:f>J62-J63+J64-J65</x:f>
        <x:v>-382988.7547112631</x:v>
      </x:c>
      <x:c r="K66" s="67" t="n">
        <x:f>K62-K63+K64-K65</x:f>
        <x:v>-362861.75196531496</x:v>
      </x:c>
      <x:c r="L66" s="67" t="n">
        <x:f>L62-L63+L64-L65</x:f>
        <x:v>-342887.2144055762</x:v>
      </x:c>
      <x:c r="M66" s="67" t="n">
        <x:f>M62-M63+M64-M65</x:f>
        <x:v>-323063.9821664074</x:v>
      </x:c>
      <x:c r="N66" s="67" t="n">
        <x:f>N62-N63+N64-N65</x:f>
        <x:v>-303390.90424210334</x:v>
      </x:c>
      <x:c r="O66" s="67" t="n">
        <x:f>O62-O63+O64-O65</x:f>
        <x:v>-283866.83841894654</x:v>
      </x:c>
      <x:c r="P66" s="67" t="n">
        <x:f>P62-P63+P64-P65</x:f>
        <x:v>-264490.65120778343</x:v>
      </x:c>
      <x:c r="Q66" s="67" t="n">
        <x:f>Q62-Q63+Q64-Q65</x:f>
        <x:v>-1699882.3446711474</x:v>
      </x:c>
      <x:c r="R66" s="83" t="n">
        <x:f>R62-R63+R64-R65</x:f>
        <x:v>-1258380.451626557</x:v>
      </x:c>
      <x:c r="S66" s="83" t="n">
        <x:f>S62-S63+S64-S65</x:f>
        <x:v>-1117956.0366211263</x:v>
      </x:c>
      <x:c r="T66" s="83" t="n">
        <x:f>T62-T63+T64-T65</x:f>
        <x:v>-978600.8615902779</x:v>
      </x:c>
      <x:c r="U66" s="83" t="n">
        <x:f>U62-U63+U64-U65</x:f>
        <x:v>-840306.7517016337</x:v>
      </x:c>
      <x:c r="V66" s="83" t="n">
        <x:f>V62-V63+V64-V65</x:f>
        <x:v>-703065.5948678624</x:v>
      </x:c>
      <x:c r="W66" s="83" t="n">
        <x:f>W62-W63+W64-W65</x:f>
        <x:v>-566869.3412632945</x:v>
      </x:c>
      <x:c r="X66" s="83" t="n">
        <x:f>X62-X63+X64-X65</x:f>
        <x:v>65043289.997155726</x:v>
      </x:c>
      <x:c r="Y66" s="83" t="n">
        <x:f>Y62-Y63+Y64-Y65</x:f>
        <x:v>-297579.65287322155</x:v>
      </x:c>
      <x:c r="Z66" s="83" t="n">
        <x:f>Z62-Z63+Z64-Z65</x:f>
        <x:v>-164470.4254463669</x:v>
      </x:c>
      <x:c r="AA66" s="83" t="n">
        <x:f>AA62-AA63+AA64-AA65</x:f>
        <x:v>-32374.51502514677</x:v>
      </x:c>
      <x:c r="AB66" s="83" t="n">
        <x:f>AB62-AB63+AB64-AB65</x:f>
        <x:v>98715.8240287879</x:v>
      </x:c>
      <x:c r="AC66" s="83" t="n">
        <x:f>AC62-AC63+AC64-AC65</x:f>
        <x:v>-3273945.5109995357</x:v>
      </x:c>
      <x:c r="AD66" s="83" t="n">
        <x:f>AD62-AD63+AD64-AD65</x:f>
        <x:v>-2476267.392030639</x:v>
      </x:c>
      <x:c r="AE66" s="83" t="n">
        <x:f>AE62-AE63+AE64-AE65</x:f>
        <x:v>-1982360.70820637</x:v>
      </x:c>
      <x:c r="AF66" s="83" t="n">
        <x:f>AF62-AF63+AF64-AF65</x:f>
        <x:v>-1492196.7579742195</x:v>
      </x:c>
      <x:c r="AG66" s="83" t="n">
        <x:f>AG62-AG63+AG64-AG65</x:f>
        <x:v>-1005747.0591046019</x:v>
      </x:c>
      <x:c r="AH66" s="83" t="n">
        <x:f>AH62-AH63+AH64-AH65</x:f>
        <x:v>-522983.34700829163</x:v>
      </x:c>
      <x:c r="AI66" s="83" t="n">
        <x:f>AI62-AI63+AI64-AI65</x:f>
        <x:v>-43877.57306682505</x:v>
      </x:c>
      <x:c r="AJ66" s="83" t="n">
        <x:f>AJ62-AJ63+AJ64-AJ65</x:f>
        <x:v>431598.0970242433</x:v>
      </x:c>
      <x:c r="AK66" s="83" t="n">
        <x:f>AK62-AK63+AK64-AK65</x:f>
        <x:v>903471.2848993279</x:v>
      </x:c>
      <x:c r="AL66" s="83" t="n">
        <x:f>AL62-AL63+AL64-AL65</x:f>
        <x:v>1371769.4011541437</x:v>
      </x:c>
      <x:c r="AM66" s="83" t="n">
        <x:f>AM62-AM63+AM64-AM65</x:f>
        <x:v>1836519.6469644746</x:v>
      </x:c>
      <x:c r="AN66" s="83" t="n">
        <x:f>AN62-AN63+AN64-AN65</x:f>
        <x:v>2297749.0156924743</x:v>
      </x:c>
      <x:c r="AO66" s="83" t="n">
        <x:f>AO62-AO63+AO64-AO65</x:f>
        <x:v>-4079117.980828125</x:v>
      </x:c>
      <x:c r="AP66" s="83" t="n">
        <x:f>AP62-AP63+AP64-AP65</x:f>
        <x:v>-2627952.6690721847</x:v>
      </x:c>
      <x:c r="AQ66" s="83" t="n">
        <x:f>AQ62-AQ63+AQ64-AQ65</x:f>
        <x:v>-1485573.08381024</x:v>
      </x:c>
      <x:c r="AR66" s="83" t="n">
        <x:f>AR62-AR63+AR64-AR65</x:f>
        <x:v>-351911.9044023417</x:v>
      </x:c>
      <x:c r="AS66" s="83" t="n">
        <x:f>AS62-AS63+AS64-AS65</x:f>
        <x:v>773097.6719825491</x:v>
      </x:c>
      <x:c r="AT66" s="83" t="n">
        <x:f>AT62-AT63+AT64-AT65</x:f>
        <x:v>1889521.9343637303</x:v>
      </x:c>
      <x:c r="AU66" s="83" t="n">
        <x:f>AU62-AU63+AU64-AU65</x:f>
        <x:v>2997426.661914982</x:v>
      </x:c>
      <x:c r="AV66" s="83" t="n">
        <x:f>AV62-AV63+AV64-AV65</x:f>
        <x:v>4096877.127900053</x:v>
      </x:c>
      <x:c r="AW66" s="83" t="n">
        <x:f>AW62-AW63+AW64-AW65</x:f>
        <x:v>5187938.103577696</x:v>
      </x:c>
      <x:c r="AX66" s="83" t="n">
        <x:f>AX62-AX63+AX64-AX65</x:f>
        <x:v>6270673.8620764315</x:v>
      </x:c>
      <x:c r="AY66" s="83" t="n">
        <x:f>AY62-AY63+AY64-AY65</x:f>
        <x:v>7345148.1822393015</x:v>
      </x:c>
      <x:c r="AZ66" s="83" t="n">
        <x:f>AZ62-AZ63+AZ64-AZ65</x:f>
        <x:v>8411424.35243887</x:v>
      </x:c>
      <x:c r="BA66" s="83" t="n">
        <x:f>BA62-BA63+BA64-BA65</x:f>
        <x:v>-2587749.6554557756</x:v>
      </x:c>
      <x:c r="BB66" s="83" t="n">
        <x:f>BB62-BB63+BB64-BB65</x:f>
        <x:v>-7390.542281072587</x:v>
      </x:c>
      <x:c r="BC66" s="83" t="n">
        <x:f>BC62-BC63+BC64-BC65</x:f>
        <x:v>2255540.461676404</x:v>
      </x:c>
      <x:c r="BD66" s="83" t="n">
        <x:f>BD62-BD63+BD64-BD65</x:f>
        <x:v>4501177.077944592</x:v>
      </x:c>
      <x:c r="BE66" s="83" t="n">
        <x:f>BE62-BE63+BE64-BE65</x:f>
        <x:v>6729651.998202585</x:v>
      </x:c>
      <x:c r="BF66" s="83" t="n">
        <x:f>BF62-BF63+BF64-BF65</x:f>
        <x:v>8941096.89224004</x:v>
      </x:c>
      <x:c r="BG66" s="83" t="n">
        <x:f>BG62-BG63+BG64-BG65</x:f>
        <x:v>11135642.41585473</x:v>
      </x:c>
      <x:c r="BH66" s="83" t="n">
        <x:f>BH62-BH63+BH64-BH65</x:f>
        <x:v>13313418.218688928</x:v>
      </x:c>
      <x:c r="BI66" s="83" t="n">
        <x:f>BI62-BI63+BI64-BI65</x:f>
        <x:v>15474552.952005006</x:v>
      </x:c>
      <x:c r="BJ66" s="83" t="n">
        <x:f>BJ62-BJ63+BJ64-BJ65</x:f>
        <x:v>17619174.276400805</x:v>
      </x:c>
      <x:c r="BK66" s="83" t="n">
        <x:f>BK62-BK63+BK64-BK65</x:f>
        <x:v>19747408.869465046</x:v>
      </x:c>
      <x:c r="BL66" s="83" t="n">
        <x:f>BL62-BL63+BL64-BL65</x:f>
        <x:v>21859382.433373533</x:v>
      </x:c>
    </x:row>
    <x:row r="67" ht="23" customHeight="1">
      <x:c r="A67" s="2"/>
      <x:c r="B67" s="2"/>
      <x:c r="C67" s="106" t="str">
        <x:v>Closing cash</x:v>
      </x:c>
      <x:c r="D67" s="107"/>
      <x:c r="E67" s="112" t="n">
        <x:f>SUM(E61,E66)</x:f>
        <x:v>1914048.0296006354</x:v>
      </x:c>
      <x:c r="F67" s="112" t="n">
        <x:f>SUM(F61,F66)</x:f>
        <x:v>1449003.1007835716</x:v>
      </x:c>
      <x:c r="G67" s="112" t="n">
        <x:f>SUM(G61,G66)</x:f>
        <x:v>1004706.8137201327</x:v>
      </x:c>
      <x:c r="H67" s="112" t="n">
        <x:f>SUM(H61,H66)</x:f>
        <x:v>22406001.973784745</x:v>
      </x:c>
      <x:c r="I67" s="112" t="n">
        <x:f>SUM(I61,I66)</x:f>
        <x:v>22002732.582347278</x:v>
      </x:c>
      <x:c r="J67" s="112" t="n">
        <x:f>SUM(J61,J66)</x:f>
        <x:v>21619743.827636015</x:v>
      </x:c>
      <x:c r="K67" s="112" t="n">
        <x:f>SUM(K61,K66)</x:f>
        <x:v>21256882.0756707</x:v>
      </x:c>
      <x:c r="L67" s="112" t="n">
        <x:f>SUM(L61,L66)</x:f>
        <x:v>20913994.861265123</x:v>
      </x:c>
      <x:c r="M67" s="112" t="n">
        <x:f>SUM(M61,M66)</x:f>
        <x:v>20590930.879098717</x:v>
      </x:c>
      <x:c r="N67" s="112" t="n">
        <x:f>SUM(N61,N66)</x:f>
        <x:v>20287539.974856615</x:v>
      </x:c>
      <x:c r="O67" s="112" t="n">
        <x:f>SUM(O61,O66)</x:f>
        <x:v>20003673.13643767</x:v>
      </x:c>
      <x:c r="P67" s="112" t="n">
        <x:f>SUM(P61,P66)</x:f>
        <x:v>19739182.485229887</x:v>
      </x:c>
      <x:c r="Q67" s="112" t="n">
        <x:f>SUM(Q61,Q66)</x:f>
        <x:v>18039300.14055874</x:v>
      </x:c>
      <x:c r="R67" s="113" t="n">
        <x:f>SUM(R61,R66)</x:f>
        <x:v>16780919.68893218</x:v>
      </x:c>
      <x:c r="S67" s="113" t="n">
        <x:f>SUM(S61,S66)</x:f>
        <x:v>15662963.652311053</x:v>
      </x:c>
      <x:c r="T67" s="113" t="n">
        <x:f>SUM(T61,T66)</x:f>
        <x:v>14684362.790720776</x:v>
      </x:c>
      <x:c r="U67" s="113" t="n">
        <x:f>SUM(U61,U66)</x:f>
        <x:v>13844056.039019141</x:v>
      </x:c>
      <x:c r="V67" s="113" t="n">
        <x:f>SUM(V61,V66)</x:f>
        <x:v>13140990.444151279</x:v>
      </x:c>
      <x:c r="W67" s="113" t="n">
        <x:f>SUM(W61,W66)</x:f>
        <x:v>12574121.102887984</x:v>
      </x:c>
      <x:c r="X67" s="113" t="n">
        <x:f>SUM(X61,X66)</x:f>
        <x:v>77617411.10004371</x:v>
      </x:c>
      <x:c r="Y67" s="113" t="n">
        <x:f>SUM(Y61,Y66)</x:f>
        <x:v>77319831.4471705</x:v>
      </x:c>
      <x:c r="Z67" s="113" t="n">
        <x:f>SUM(Z61,Z66)</x:f>
        <x:v>77155361.02172413</x:v>
      </x:c>
      <x:c r="AA67" s="113" t="n">
        <x:f>SUM(AA61,AA66)</x:f>
        <x:v>77122986.50669898</x:v>
      </x:c>
      <x:c r="AB67" s="113" t="n">
        <x:f>SUM(AB61,AB66)</x:f>
        <x:v>77221702.33072777</x:v>
      </x:c>
      <x:c r="AC67" s="113" t="n">
        <x:f>SUM(AC61,AC66)</x:f>
        <x:v>73947756.81972824</x:v>
      </x:c>
      <x:c r="AD67" s="113" t="n">
        <x:f>SUM(AD61,AD66)</x:f>
        <x:v>71471489.4276976</x:v>
      </x:c>
      <x:c r="AE67" s="113" t="n">
        <x:f>SUM(AE61,AE66)</x:f>
        <x:v>69489128.71949123</x:v>
      </x:c>
      <x:c r="AF67" s="113" t="n">
        <x:f>SUM(AF61,AF66)</x:f>
        <x:v>67996931.961517</x:v>
      </x:c>
      <x:c r="AG67" s="113" t="n">
        <x:f>SUM(AG61,AG66)</x:f>
        <x:v>66991184.90241241</x:v>
      </x:c>
      <x:c r="AH67" s="113" t="n">
        <x:f>SUM(AH61,AH66)</x:f>
        <x:v>66468201.55540411</x:v>
      </x:c>
      <x:c r="AI67" s="113" t="n">
        <x:f>SUM(AI61,AI66)</x:f>
        <x:v>66424323.98233729</x:v>
      </x:c>
      <x:c r="AJ67" s="113" t="n">
        <x:f>SUM(AJ61,AJ66)</x:f>
        <x:v>66855922.07936153</x:v>
      </x:c>
      <x:c r="AK67" s="113" t="n">
        <x:f>SUM(AK61,AK66)</x:f>
        <x:v>67759393.36426085</x:v>
      </x:c>
      <x:c r="AL67" s="113" t="n">
        <x:f>SUM(AL61,AL66)</x:f>
        <x:v>69131162.765415</x:v>
      </x:c>
      <x:c r="AM67" s="113" t="n">
        <x:f>SUM(AM61,AM66)</x:f>
        <x:v>70967682.41237947</x:v>
      </x:c>
      <x:c r="AN67" s="113" t="n">
        <x:f>SUM(AN61,AN66)</x:f>
        <x:v>73265431.42807195</x:v>
      </x:c>
      <x:c r="AO67" s="113" t="n">
        <x:f>SUM(AO61,AO66)</x:f>
        <x:v>69186313.44724382</x:v>
      </x:c>
      <x:c r="AP67" s="113" t="n">
        <x:f>SUM(AP61,AP66)</x:f>
        <x:v>66558360.77817164</x:v>
      </x:c>
      <x:c r="AQ67" s="113" t="n">
        <x:f>SUM(AQ61,AQ66)</x:f>
        <x:v>65072787.6943614</x:v>
      </x:c>
      <x:c r="AR67" s="113" t="n">
        <x:f>SUM(AR61,AR66)</x:f>
        <x:v>64720875.78995906</x:v>
      </x:c>
      <x:c r="AS67" s="113" t="n">
        <x:f>SUM(AS61,AS66)</x:f>
        <x:v>65493973.46194161</x:v>
      </x:c>
      <x:c r="AT67" s="113" t="n">
        <x:f>SUM(AT61,AT66)</x:f>
        <x:v>67383495.39630534</x:v>
      </x:c>
      <x:c r="AU67" s="113" t="n">
        <x:f>SUM(AU61,AU66)</x:f>
        <x:v>70380922.05822033</x:v>
      </x:c>
      <x:c r="AV67" s="113" t="n">
        <x:f>SUM(AV61,AV66)</x:f>
        <x:v>74477799.18612038</x:v>
      </x:c>
      <x:c r="AW67" s="113" t="n">
        <x:f>SUM(AW61,AW66)</x:f>
        <x:v>79665737.28969806</x:v>
      </x:c>
      <x:c r="AX67" s="113" t="n">
        <x:f>SUM(AX61,AX66)</x:f>
        <x:v>85936411.1517745</x:v>
      </x:c>
      <x:c r="AY67" s="113" t="n">
        <x:f>SUM(AY61,AY66)</x:f>
        <x:v>93281559.33401379</x:v>
      </x:c>
      <x:c r="AZ67" s="113" t="n">
        <x:f>SUM(AZ61,AZ66)</x:f>
        <x:v>101692983.68645266</x:v>
      </x:c>
      <x:c r="BA67" s="113" t="n">
        <x:f>SUM(BA61,BA66)</x:f>
        <x:v>99105234.03099689</x:v>
      </x:c>
      <x:c r="BB67" s="113" t="n">
        <x:f>SUM(BB61,BB66)</x:f>
        <x:v>99097843.48871581</x:v>
      </x:c>
      <x:c r="BC67" s="113" t="n">
        <x:f>SUM(BC61,BC66)</x:f>
        <x:v>101353383.95039222</x:v>
      </x:c>
      <x:c r="BD67" s="113" t="n">
        <x:f>SUM(BD61,BD66)</x:f>
        <x:v>105854561.02833681</x:v>
      </x:c>
      <x:c r="BE67" s="113" t="n">
        <x:f>SUM(BE61,BE66)</x:f>
        <x:v>112584213.02653939</x:v>
      </x:c>
      <x:c r="BF67" s="113" t="n">
        <x:f>SUM(BF61,BF66)</x:f>
        <x:v>121525309.91877943</x:v>
      </x:c>
      <x:c r="BG67" s="113" t="n">
        <x:f>SUM(BG61,BG66)</x:f>
        <x:v>132660952.33463416</x:v>
      </x:c>
      <x:c r="BH67" s="113" t="n">
        <x:f>SUM(BH61,BH66)</x:f>
        <x:v>145974370.5533231</x:v>
      </x:c>
      <x:c r="BI67" s="113" t="n">
        <x:f>SUM(BI61,BI66)</x:f>
        <x:v>161448923.5053281</x:v>
      </x:c>
      <x:c r="BJ67" s="113" t="n">
        <x:f>SUM(BJ61,BJ66)</x:f>
        <x:v>179068097.7817289</x:v>
      </x:c>
      <x:c r="BK67" s="113" t="n">
        <x:f>SUM(BK61,BK66)</x:f>
        <x:v>198815506.65119395</x:v>
      </x:c>
      <x:c r="BL67" s="113" t="n">
        <x:f>SUM(BL61,BL66)</x:f>
        <x:v>220674889.0845675</x:v>
      </x:c>
    </x:row>
    <x:row r="68" ht="23" customHeight="1">
      <x:c r="A68" s="2"/>
      <x:c r="B68" s="2"/>
      <x:c r="C68" s="4" t="str">
        <x:v>Cash with all financing removed</x:v>
      </x:c>
      <x:c r="D68" s="2"/>
      <x:c r="E68" s="69" t="n">
        <x:f>'Assumptions'!$D$9+E62-E63</x:f>
        <x:v>1914048.0296006352</x:v>
      </x:c>
      <x:c r="F68" s="67" t="n">
        <x:f>E68+F62-F63</x:f>
        <x:v>1449003.1007835714</x:v>
      </x:c>
      <x:c r="G68" s="67" t="n">
        <x:f>F68+G62-G63</x:f>
        <x:v>1004706.8137201325</x:v>
      </x:c>
      <x:c r="H68" s="67" t="n">
        <x:f>G68+H62-H63</x:f>
        <x:v>581001.9737847437</x:v>
      </x:c>
      <x:c r="I68" s="67" t="n">
        <x:f>H68+I62-I63</x:f>
        <x:v>177732.58234727598</x:v>
      </x:c>
      <x:c r="J68" s="67" t="n">
        <x:f>I68+J62-J63</x:f>
        <x:v>-205256.17236398713</x:v>
      </x:c>
      <x:c r="K68" s="67" t="n">
        <x:f>J68+K62-K63</x:f>
        <x:v>-568117.924329302</x:v>
      </x:c>
      <x:c r="L68" s="67" t="n">
        <x:f>K68+L62-L63</x:f>
        <x:v>-911005.1387348783</x:v>
      </x:c>
      <x:c r="M68" s="67" t="n">
        <x:f>L68+M62-M63</x:f>
        <x:v>-1234069.1209012857</x:v>
      </x:c>
      <x:c r="N68" s="67" t="n">
        <x:f>M68+N62-N63</x:f>
        <x:v>-1537460.0251433891</x:v>
      </x:c>
      <x:c r="O68" s="67" t="n">
        <x:f>N68+O62-O63</x:f>
        <x:v>-1821326.8635623357</x:v>
      </x:c>
      <x:c r="P68" s="67" t="n">
        <x:f>O68+P62-P63</x:f>
        <x:v>-2085817.5147701192</x:v>
      </x:c>
      <x:c r="Q68" s="67" t="n">
        <x:f>P68+Q62-Q63</x:f>
        <x:v>-3785699.8594412664</x:v>
      </x:c>
      <x:c r="R68" s="83" t="n">
        <x:f>Q68+R62-R63</x:f>
        <x:v>-5044080.311067823</x:v>
      </x:c>
      <x:c r="S68" s="83" t="n">
        <x:f>R68+S62-S63</x:f>
        <x:v>-6162036.34768895</x:v>
      </x:c>
      <x:c r="T68" s="83" t="n">
        <x:f>S68+T62-T63</x:f>
        <x:v>-7140637.209279228</x:v>
      </x:c>
      <x:c r="U68" s="83" t="n">
        <x:f>T68+U62-U63</x:f>
        <x:v>-7980943.960980861</x:v>
      </x:c>
      <x:c r="V68" s="83" t="n">
        <x:f>U68+V62-V63</x:f>
        <x:v>-8684009.555848723</x:v>
      </x:c>
      <x:c r="W68" s="83" t="n">
        <x:f>V68+W62-W63</x:f>
        <x:v>-9250878.897112017</x:v>
      </x:c>
      <x:c r="X68" s="83" t="n">
        <x:f>W68+X62-X63</x:f>
        <x:v>-9682588.899956292</x:v>
      </x:c>
      <x:c r="Y68" s="83" t="n">
        <x:f>X68+Y62-Y63</x:f>
        <x:v>-9980168.552829513</x:v>
      </x:c>
      <x:c r="Z68" s="83" t="n">
        <x:f>Y68+Z62-Z63</x:f>
        <x:v>-10144638.97827588</x:v>
      </x:c>
      <x:c r="AA68" s="83" t="n">
        <x:f>Z68+AA62-AA63</x:f>
        <x:v>-10177013.493301027</x:v>
      </x:c>
      <x:c r="AB68" s="83" t="n">
        <x:f>AA68+AB62-AB63</x:f>
        <x:v>-10078297.669272238</x:v>
      </x:c>
      <x:c r="AC68" s="83" t="n">
        <x:f>AB68+AC62-AC63</x:f>
        <x:v>-13352243.180271775</x:v>
      </x:c>
      <x:c r="AD68" s="83" t="n">
        <x:f>AC68+AD62-AD63</x:f>
        <x:v>-15828510.572302414</x:v>
      </x:c>
      <x:c r="AE68" s="83" t="n">
        <x:f>AD68+AE62-AE63</x:f>
        <x:v>-17810871.280508783</x:v>
      </x:c>
      <x:c r="AF68" s="83" t="n">
        <x:f>AE68+AF62-AF63</x:f>
        <x:v>-19303068.038483</x:v>
      </x:c>
      <x:c r="AG68" s="83" t="n">
        <x:f>AF68+AG62-AG63</x:f>
        <x:v>-20308815.097587604</x:v>
      </x:c>
      <x:c r="AH68" s="83" t="n">
        <x:f>AG68+AH62-AH63</x:f>
        <x:v>-20831798.444595896</x:v>
      </x:c>
      <x:c r="AI68" s="83" t="n">
        <x:f>AH68+AI62-AI63</x:f>
        <x:v>-20875676.01766272</x:v>
      </x:c>
      <x:c r="AJ68" s="83" t="n">
        <x:f>AI68+AJ62-AJ63</x:f>
        <x:v>-20444077.920638476</x:v>
      </x:c>
      <x:c r="AK68" s="83" t="n">
        <x:f>AJ68+AK62-AK63</x:f>
        <x:v>-19540606.635739148</x:v>
      </x:c>
      <x:c r="AL68" s="83" t="n">
        <x:f>AK68+AL62-AL63</x:f>
        <x:v>-18168837.234585002</x:v>
      </x:c>
      <x:c r="AM68" s="83" t="n">
        <x:f>AL68+AM62-AM63</x:f>
        <x:v>-16332317.587620527</x:v>
      </x:c>
      <x:c r="AN68" s="83" t="n">
        <x:f>AM68+AN62-AN63</x:f>
        <x:v>-14034568.571928052</x:v>
      </x:c>
      <x:c r="AO68" s="83" t="n">
        <x:f>AN68+AO62-AO63</x:f>
        <x:v>-18113686.552756175</x:v>
      </x:c>
      <x:c r="AP68" s="83" t="n">
        <x:f>AO68+AP62-AP63</x:f>
        <x:v>-20741639.22182836</x:v>
      </x:c>
      <x:c r="AQ68" s="83" t="n">
        <x:f>AP68+AQ62-AQ63</x:f>
        <x:v>-22227212.3056386</x:v>
      </x:c>
      <x:c r="AR68" s="83" t="n">
        <x:f>AQ68+AR62-AR63</x:f>
        <x:v>-22579124.21004094</x:v>
      </x:c>
      <x:c r="AS68" s="83" t="n">
        <x:f>AR68+AS62-AS63</x:f>
        <x:v>-21806026.538058393</x:v>
      </x:c>
      <x:c r="AT68" s="83" t="n">
        <x:f>AS68+AT62-AT63</x:f>
        <x:v>-19916504.603694662</x:v>
      </x:c>
      <x:c r="AU68" s="83" t="n">
        <x:f>AT68+AU62-AU63</x:f>
        <x:v>-16919077.94177968</x:v>
      </x:c>
      <x:c r="AV68" s="83" t="n">
        <x:f>AU68+AV62-AV63</x:f>
        <x:v>-12822200.813879628</x:v>
      </x:c>
      <x:c r="AW68" s="83" t="n">
        <x:f>AV68+AW62-AW63</x:f>
        <x:v>-7634262.710301932</x:v>
      </x:c>
      <x:c r="AX68" s="83" t="n">
        <x:f>AW68+AX62-AX63</x:f>
        <x:v>-1363588.8482255004</x:v>
      </x:c>
      <x:c r="AY68" s="83" t="n">
        <x:f>AX68+AY62-AY63</x:f>
        <x:v>5981559.334013801</x:v>
      </x:c>
      <x:c r="AZ68" s="83" t="n">
        <x:f>AY68+AZ62-AZ63</x:f>
        <x:v>14392983.686452672</x:v>
      </x:c>
      <x:c r="BA68" s="83" t="n">
        <x:f>AZ68+BA62-BA63</x:f>
        <x:v>11805234.030996896</x:v>
      </x:c>
      <x:c r="BB68" s="83" t="n">
        <x:f>BA68+BB62-BB63</x:f>
        <x:v>11797843.488715824</x:v>
      </x:c>
      <x:c r="BC68" s="83" t="n">
        <x:f>BB68+BC62-BC63</x:f>
        <x:v>14053383.950392228</x:v>
      </x:c>
      <x:c r="BD68" s="83" t="n">
        <x:f>BC68+BD62-BD63</x:f>
        <x:v>18554561.02833682</x:v>
      </x:c>
      <x:c r="BE68" s="83" t="n">
        <x:f>BD68+BE62-BE63</x:f>
        <x:v>25284213.026539404</x:v>
      </x:c>
      <x:c r="BF68" s="83" t="n">
        <x:f>BE68+BF62-BF63</x:f>
        <x:v>34225309.91877945</x:v>
      </x:c>
      <x:c r="BG68" s="83" t="n">
        <x:f>BF68+BG62-BG63</x:f>
        <x:v>45360952.33463418</x:v>
      </x:c>
      <x:c r="BH68" s="83" t="n">
        <x:f>BG68+BH62-BH63</x:f>
        <x:v>58674370.553323105</x:v>
      </x:c>
      <x:c r="BI68" s="83" t="n">
        <x:f>BH68+BI62-BI63</x:f>
        <x:v>74148923.50532812</x:v>
      </x:c>
      <x:c r="BJ68" s="83" t="n">
        <x:f>BI68+BJ62-BJ63</x:f>
        <x:v>91768097.78172892</x:v>
      </x:c>
      <x:c r="BK68" s="83" t="n">
        <x:f>BJ68+BK62-BK63</x:f>
        <x:v>111515506.65119398</x:v>
      </x:c>
      <x:c r="BL68" s="83" t="n">
        <x:f>BK68+BL62-BL63</x:f>
        <x:v>133374889.08456752</x:v>
      </x:c>
    </x:row>
    <x:row r="69" ht="23" customHeight="1">
      <x:c r="A69" s="2"/>
      <x:c r="B69" s="2"/>
      <x:c r="C69" s="4" t="str">
        <x:v>Runway at this month net burn (mo)</x:v>
      </x:c>
      <x:c r="D69" s="2"/>
      <x:c r="E69" s="65" t="n">
        <x:f>IF(E62&lt;0,MAX(0,E67)/(-E62),"n.a.")</x:f>
        <x:v>2.4353244239950858</x:v>
      </x:c>
      <x:c r="F69" s="65" t="n">
        <x:f>IF(F62&lt;0,MAX(0,F67)/(-F62),"n.a.")</x:f>
        <x:v>3.115834645201713</x:v>
      </x:c>
      <x:c r="G69" s="65" t="n">
        <x:f>IF(G62&lt;0,MAX(0,G67)/(-G62),"n.a.")</x:f>
        <x:v>2.2613441592337127</x:v>
      </x:c>
      <x:c r="H69" s="65" t="n">
        <x:f>IF(H62&lt;0,MAX(0,H67)/(-H62),"n.a.")</x:f>
        <x:v>52.881156555118565</x:v>
      </x:c>
      <x:c r="I69" s="65" t="n">
        <x:f>IF(I62&lt;0,MAX(0,I67)/(-I62),"n.a.")</x:f>
        <x:v>54.56087927704549</x:v>
      </x:c>
      <x:c r="J69" s="65" t="n">
        <x:f>IF(J62&lt;0,MAX(0,J67)/(-J62),"n.a.")</x:f>
        <x:v>56.45007473897043</x:v>
      </x:c>
      <x:c r="K69" s="65" t="n">
        <x:f>IF(K62&lt;0,MAX(0,K67)/(-K62),"n.a.")</x:f>
        <x:v>58.58121436205432</x:v>
      </x:c>
      <x:c r="L69" s="65" t="n">
        <x:f>IF(L62&lt;0,MAX(0,L67)/(-L62),"n.a.")</x:f>
        <x:v>60.99380199265024</x:v>
      </x:c>
      <x:c r="M69" s="65" t="n">
        <x:f>IF(M62&lt;0,MAX(0,M67)/(-M62),"n.a.")</x:f>
        <x:v>63.736386647065196</x:v>
      </x:c>
      <x:c r="N69" s="65" t="n">
        <x:f>IF(N62&lt;0,MAX(0,N67)/(-N62),"n.a.")</x:f>
        <x:v>66.86930850987983</x:v>
      </x:c>
      <x:c r="O69" s="65" t="n">
        <x:f>IF(O62&lt;0,MAX(0,O67)/(-O62),"n.a.")</x:f>
        <x:v>70.46850998113112</x:v>
      </x:c>
      <x:c r="P69" s="65" t="n">
        <x:f>IF(P62&lt;0,MAX(0,P67)/(-P62),"n.a.")</x:f>
        <x:v>74.63092701043266</x:v>
      </x:c>
      <x:c r="Q69" s="65" t="n">
        <x:f>IF(Q62&lt;0,MAX(0,Q67)/(-Q62),"n.a.")</x:f>
        <x:v>12.88629734436463</x:v>
      </x:c>
      <x:c r="R69" s="78" t="n">
        <x:f>IF(R62&lt;0,MAX(0,R67)/(-R62),"n.a.")</x:f>
        <x:v>13.335330874888834</x:v>
      </x:c>
      <x:c r="S69" s="78" t="n">
        <x:f>IF(S62&lt;0,MAX(0,S67)/(-S62),"n.a.")</x:f>
        <x:v>14.01035741946551</x:v>
      </x:c>
      <x:c r="T69" s="78" t="n">
        <x:f>IF(T62&lt;0,MAX(0,T67)/(-T62),"n.a.")</x:f>
        <x:v>15.00546685280648</x:v>
      </x:c>
      <x:c r="U69" s="78" t="n">
        <x:f>IF(U62&lt;0,MAX(0,U67)/(-U62),"n.a.")</x:f>
        <x:v>16.475002742730226</x:v>
      </x:c>
      <x:c r="V69" s="78" t="n">
        <x:f>IF(V62&lt;0,MAX(0,V67)/(-V62),"n.a.")</x:f>
        <x:v>18.690987782755975</x:v>
      </x:c>
      <x:c r="W69" s="78" t="n">
        <x:f>IF(W62&lt;0,MAX(0,W67)/(-W62),"n.a.")</x:f>
        <x:v>22.181691948387922</x:v>
      </x:c>
      <x:c r="X69" s="78" t="n">
        <x:f>IF(X62&lt;0,MAX(0,X67)/(-X62),"n.a.")</x:f>
        <x:v>179.79062469868612</x:v>
      </x:c>
      <x:c r="Y69" s="78" t="n">
        <x:f>IF(Y62&lt;0,MAX(0,Y67)/(-Y62),"n.a.")</x:f>
        <x:v>259.8290262812801</x:v>
      </x:c>
      <x:c r="Z69" s="78" t="n">
        <x:f>IF(Z62&lt;0,MAX(0,Z67)/(-Z62),"n.a.")</x:f>
        <x:v>469.1138896997878</x:v>
      </x:c>
      <x:c r="AA69" s="78" t="n">
        <x:f>IF(AA62&lt;0,MAX(0,AA67)/(-AA62),"n.a.")</x:f>
        <x:v>2382.212874750217</x:v>
      </x:c>
      <x:c r="AB69" s="78" t="str">
        <x:f>IF(AB62&lt;0,MAX(0,AB67)/(-AB62),"n.a.")</x:f>
        <x:v>n.a.</x:v>
      </x:c>
      <x:c r="AC69" s="78" t="n">
        <x:f>IF(AC62&lt;0,MAX(0,AC67)/(-AC62),"n.a.")</x:f>
        <x:v>24.8652023200232</x:v>
      </x:c>
      <x:c r="AD69" s="78" t="n">
        <x:f>IF(AD62&lt;0,MAX(0,AD67)/(-AD62),"n.a.")</x:f>
        <x:v>28.862589580476644</x:v>
      </x:c>
      <x:c r="AE69" s="78" t="n">
        <x:f>IF(AE62&lt;0,MAX(0,AE67)/(-AE62),"n.a.")</x:f>
        <x:v>35.05372580874277</x:v>
      </x:c>
      <x:c r="AF69" s="78" t="n">
        <x:f>IF(AF62&lt;0,MAX(0,AF67)/(-AF62),"n.a.")</x:f>
        <x:v>45.568341841077626</x:v>
      </x:c>
      <x:c r="AG69" s="78" t="n">
        <x:f>IF(AG62&lt;0,MAX(0,AG67)/(-AG62),"n.a.")</x:f>
        <x:v>66.60838259080114</x:v>
      </x:c>
      <x:c r="AH69" s="78" t="n">
        <x:f>IF(AH62&lt;0,MAX(0,AH67)/(-AH62),"n.a.")</x:f>
        <x:v>127.09429838566216</x:v>
      </x:c>
      <x:c r="AI69" s="78" t="n">
        <x:f>IF(AI62&lt;0,MAX(0,AI67)/(-AI62),"n.a.")</x:f>
        <x:v>1513.855925467295</x:v>
      </x:c>
      <x:c r="AJ69" s="78" t="str">
        <x:f>IF(AJ62&lt;0,MAX(0,AJ67)/(-AJ62),"n.a.")</x:f>
        <x:v>n.a.</x:v>
      </x:c>
      <x:c r="AK69" s="78" t="str">
        <x:f>IF(AK62&lt;0,MAX(0,AK67)/(-AK62),"n.a.")</x:f>
        <x:v>n.a.</x:v>
      </x:c>
      <x:c r="AL69" s="78" t="str">
        <x:f>IF(AL62&lt;0,MAX(0,AL67)/(-AL62),"n.a.")</x:f>
        <x:v>n.a.</x:v>
      </x:c>
      <x:c r="AM69" s="78" t="str">
        <x:f>IF(AM62&lt;0,MAX(0,AM67)/(-AM62),"n.a.")</x:f>
        <x:v>n.a.</x:v>
      </x:c>
      <x:c r="AN69" s="78" t="str">
        <x:f>IF(AN62&lt;0,MAX(0,AN67)/(-AN62),"n.a.")</x:f>
        <x:v>n.a.</x:v>
      </x:c>
      <x:c r="AO69" s="78" t="n">
        <x:f>IF(AO62&lt;0,MAX(0,AO67)/(-AO62),"n.a.")</x:f>
        <x:v>18.307529375434555</x:v>
      </x:c>
      <x:c r="AP69" s="78" t="n">
        <x:f>IF(AP62&lt;0,MAX(0,AP67)/(-AP62),"n.a.")</x:f>
        <x:v>25.327077447582226</x:v>
      </x:c>
      <x:c r="AQ69" s="78" t="n">
        <x:f>IF(AQ62&lt;0,MAX(0,AQ67)/(-AQ62),"n.a.")</x:f>
        <x:v>43.80315475793414</x:v>
      </x:c>
      <x:c r="AR69" s="78" t="n">
        <x:f>IF(AR62&lt;0,MAX(0,AR67)/(-AR62),"n.a.")</x:f>
        <x:v>183.9121523890352</x:v>
      </x:c>
      <x:c r="AS69" s="78" t="str">
        <x:f>IF(AS62&lt;0,MAX(0,AS67)/(-AS62),"n.a.")</x:f>
        <x:v>n.a.</x:v>
      </x:c>
      <x:c r="AT69" s="78" t="str">
        <x:f>IF(AT62&lt;0,MAX(0,AT67)/(-AT62),"n.a.")</x:f>
        <x:v>n.a.</x:v>
      </x:c>
      <x:c r="AU69" s="78" t="str">
        <x:f>IF(AU62&lt;0,MAX(0,AU67)/(-AU62),"n.a.")</x:f>
        <x:v>n.a.</x:v>
      </x:c>
      <x:c r="AV69" s="78" t="str">
        <x:f>IF(AV62&lt;0,MAX(0,AV67)/(-AV62),"n.a.")</x:f>
        <x:v>n.a.</x:v>
      </x:c>
      <x:c r="AW69" s="78" t="str">
        <x:f>IF(AW62&lt;0,MAX(0,AW67)/(-AW62),"n.a.")</x:f>
        <x:v>n.a.</x:v>
      </x:c>
      <x:c r="AX69" s="78" t="str">
        <x:f>IF(AX62&lt;0,MAX(0,AX67)/(-AX62),"n.a.")</x:f>
        <x:v>n.a.</x:v>
      </x:c>
      <x:c r="AY69" s="78" t="str">
        <x:f>IF(AY62&lt;0,MAX(0,AY67)/(-AY62),"n.a.")</x:f>
        <x:v>n.a.</x:v>
      </x:c>
      <x:c r="AZ69" s="78" t="str">
        <x:f>IF(AZ62&lt;0,MAX(0,AZ67)/(-AZ62),"n.a.")</x:f>
        <x:v>n.a.</x:v>
      </x:c>
      <x:c r="BA69" s="78" t="n">
        <x:f>IF(BA62&lt;0,MAX(0,BA67)/(-BA62),"n.a.")</x:f>
        <x:v>43.31996457508053</x:v>
      </x:c>
      <x:c r="BB69" s="78" t="n">
        <x:f>IF(BB62&lt;0,MAX(0,BB67)/(-BB62),"n.a.")</x:f>
        <x:v>13408.737778621271</x:v>
      </x:c>
      <x:c r="BC69" s="78" t="str">
        <x:f>IF(BC62&lt;0,MAX(0,BC67)/(-BC62),"n.a.")</x:f>
        <x:v>n.a.</x:v>
      </x:c>
      <x:c r="BD69" s="78" t="str">
        <x:f>IF(BD62&lt;0,MAX(0,BD67)/(-BD62),"n.a.")</x:f>
        <x:v>n.a.</x:v>
      </x:c>
      <x:c r="BE69" s="78" t="str">
        <x:f>IF(BE62&lt;0,MAX(0,BE67)/(-BE62),"n.a.")</x:f>
        <x:v>n.a.</x:v>
      </x:c>
      <x:c r="BF69" s="78" t="str">
        <x:f>IF(BF62&lt;0,MAX(0,BF67)/(-BF62),"n.a.")</x:f>
        <x:v>n.a.</x:v>
      </x:c>
      <x:c r="BG69" s="78" t="str">
        <x:f>IF(BG62&lt;0,MAX(0,BG67)/(-BG62),"n.a.")</x:f>
        <x:v>n.a.</x:v>
      </x:c>
      <x:c r="BH69" s="78" t="str">
        <x:f>IF(BH62&lt;0,MAX(0,BH67)/(-BH62),"n.a.")</x:f>
        <x:v>n.a.</x:v>
      </x:c>
      <x:c r="BI69" s="78" t="str">
        <x:f>IF(BI62&lt;0,MAX(0,BI67)/(-BI62),"n.a.")</x:f>
        <x:v>n.a.</x:v>
      </x:c>
      <x:c r="BJ69" s="78" t="str">
        <x:f>IF(BJ62&lt;0,MAX(0,BJ67)/(-BJ62),"n.a.")</x:f>
        <x:v>n.a.</x:v>
      </x:c>
      <x:c r="BK69" s="78" t="str">
        <x:f>IF(BK62&lt;0,MAX(0,BK67)/(-BK62),"n.a.")</x:f>
        <x:v>n.a.</x:v>
      </x:c>
      <x:c r="BL69" s="78" t="str">
        <x:f>IF(BL62&lt;0,MAX(0,BL67)/(-BL62),"n.a.")</x:f>
        <x:v>n.a.</x:v>
      </x:c>
    </x:row>
    <x:row r="70" ht="23" customHeight="1">
      <x:c r="A70" s="2"/>
      <x:c r="B70" s="2"/>
      <x:c r="C70" s="4" t="str">
        <x:v>Cash shortfall</x:v>
      </x:c>
      <x:c r="D70" s="2"/>
      <x:c r="E70" s="67" t="n">
        <x:f>MAX(0,-E67)</x:f>
        <x:v>0</x:v>
      </x:c>
      <x:c r="F70" s="67" t="n">
        <x:f>MAX(0,-F67)</x:f>
        <x:v>0</x:v>
      </x:c>
      <x:c r="G70" s="67" t="n">
        <x:f>MAX(0,-G67)</x:f>
        <x:v>0</x:v>
      </x:c>
      <x:c r="H70" s="67" t="n">
        <x:f>MAX(0,-H67)</x:f>
        <x:v>0</x:v>
      </x:c>
      <x:c r="I70" s="67" t="n">
        <x:f>MAX(0,-I67)</x:f>
        <x:v>0</x:v>
      </x:c>
      <x:c r="J70" s="67" t="n">
        <x:f>MAX(0,-J67)</x:f>
        <x:v>0</x:v>
      </x:c>
      <x:c r="K70" s="67" t="n">
        <x:f>MAX(0,-K67)</x:f>
        <x:v>0</x:v>
      </x:c>
      <x:c r="L70" s="67" t="n">
        <x:f>MAX(0,-L67)</x:f>
        <x:v>0</x:v>
      </x:c>
      <x:c r="M70" s="67" t="n">
        <x:f>MAX(0,-M67)</x:f>
        <x:v>0</x:v>
      </x:c>
      <x:c r="N70" s="67" t="n">
        <x:f>MAX(0,-N67)</x:f>
        <x:v>0</x:v>
      </x:c>
      <x:c r="O70" s="67" t="n">
        <x:f>MAX(0,-O67)</x:f>
        <x:v>0</x:v>
      </x:c>
      <x:c r="P70" s="67" t="n">
        <x:f>MAX(0,-P67)</x:f>
        <x:v>0</x:v>
      </x:c>
      <x:c r="Q70" s="67" t="n">
        <x:f>MAX(0,-Q67)</x:f>
        <x:v>0</x:v>
      </x:c>
      <x:c r="R70" s="83" t="n">
        <x:f>MAX(0,-R67)</x:f>
        <x:v>0</x:v>
      </x:c>
      <x:c r="S70" s="83" t="n">
        <x:f>MAX(0,-S67)</x:f>
        <x:v>0</x:v>
      </x:c>
      <x:c r="T70" s="83" t="n">
        <x:f>MAX(0,-T67)</x:f>
        <x:v>0</x:v>
      </x:c>
      <x:c r="U70" s="83" t="n">
        <x:f>MAX(0,-U67)</x:f>
        <x:v>0</x:v>
      </x:c>
      <x:c r="V70" s="83" t="n">
        <x:f>MAX(0,-V67)</x:f>
        <x:v>0</x:v>
      </x:c>
      <x:c r="W70" s="83" t="n">
        <x:f>MAX(0,-W67)</x:f>
        <x:v>0</x:v>
      </x:c>
      <x:c r="X70" s="83" t="n">
        <x:f>MAX(0,-X67)</x:f>
        <x:v>0</x:v>
      </x:c>
      <x:c r="Y70" s="83" t="n">
        <x:f>MAX(0,-Y67)</x:f>
        <x:v>0</x:v>
      </x:c>
      <x:c r="Z70" s="83" t="n">
        <x:f>MAX(0,-Z67)</x:f>
        <x:v>0</x:v>
      </x:c>
      <x:c r="AA70" s="83" t="n">
        <x:f>MAX(0,-AA67)</x:f>
        <x:v>0</x:v>
      </x:c>
      <x:c r="AB70" s="83" t="n">
        <x:f>MAX(0,-AB67)</x:f>
        <x:v>0</x:v>
      </x:c>
      <x:c r="AC70" s="83" t="n">
        <x:f>MAX(0,-AC67)</x:f>
        <x:v>0</x:v>
      </x:c>
      <x:c r="AD70" s="83" t="n">
        <x:f>MAX(0,-AD67)</x:f>
        <x:v>0</x:v>
      </x:c>
      <x:c r="AE70" s="83" t="n">
        <x:f>MAX(0,-AE67)</x:f>
        <x:v>0</x:v>
      </x:c>
      <x:c r="AF70" s="83" t="n">
        <x:f>MAX(0,-AF67)</x:f>
        <x:v>0</x:v>
      </x:c>
      <x:c r="AG70" s="83" t="n">
        <x:f>MAX(0,-AG67)</x:f>
        <x:v>0</x:v>
      </x:c>
      <x:c r="AH70" s="83" t="n">
        <x:f>MAX(0,-AH67)</x:f>
        <x:v>0</x:v>
      </x:c>
      <x:c r="AI70" s="83" t="n">
        <x:f>MAX(0,-AI67)</x:f>
        <x:v>0</x:v>
      </x:c>
      <x:c r="AJ70" s="83" t="n">
        <x:f>MAX(0,-AJ67)</x:f>
        <x:v>0</x:v>
      </x:c>
      <x:c r="AK70" s="83" t="n">
        <x:f>MAX(0,-AK67)</x:f>
        <x:v>0</x:v>
      </x:c>
      <x:c r="AL70" s="83" t="n">
        <x:f>MAX(0,-AL67)</x:f>
        <x:v>0</x:v>
      </x:c>
      <x:c r="AM70" s="83" t="n">
        <x:f>MAX(0,-AM67)</x:f>
        <x:v>0</x:v>
      </x:c>
      <x:c r="AN70" s="83" t="n">
        <x:f>MAX(0,-AN67)</x:f>
        <x:v>0</x:v>
      </x:c>
      <x:c r="AO70" s="83" t="n">
        <x:f>MAX(0,-AO67)</x:f>
        <x:v>0</x:v>
      </x:c>
      <x:c r="AP70" s="83" t="n">
        <x:f>MAX(0,-AP67)</x:f>
        <x:v>0</x:v>
      </x:c>
      <x:c r="AQ70" s="83" t="n">
        <x:f>MAX(0,-AQ67)</x:f>
        <x:v>0</x:v>
      </x:c>
      <x:c r="AR70" s="83" t="n">
        <x:f>MAX(0,-AR67)</x:f>
        <x:v>0</x:v>
      </x:c>
      <x:c r="AS70" s="83" t="n">
        <x:f>MAX(0,-AS67)</x:f>
        <x:v>0</x:v>
      </x:c>
      <x:c r="AT70" s="83" t="n">
        <x:f>MAX(0,-AT67)</x:f>
        <x:v>0</x:v>
      </x:c>
      <x:c r="AU70" s="83" t="n">
        <x:f>MAX(0,-AU67)</x:f>
        <x:v>0</x:v>
      </x:c>
      <x:c r="AV70" s="83" t="n">
        <x:f>MAX(0,-AV67)</x:f>
        <x:v>0</x:v>
      </x:c>
      <x:c r="AW70" s="83" t="n">
        <x:f>MAX(0,-AW67)</x:f>
        <x:v>0</x:v>
      </x:c>
      <x:c r="AX70" s="83" t="n">
        <x:f>MAX(0,-AX67)</x:f>
        <x:v>0</x:v>
      </x:c>
      <x:c r="AY70" s="83" t="n">
        <x:f>MAX(0,-AY67)</x:f>
        <x:v>0</x:v>
      </x:c>
      <x:c r="AZ70" s="83" t="n">
        <x:f>MAX(0,-AZ67)</x:f>
        <x:v>0</x:v>
      </x:c>
      <x:c r="BA70" s="83" t="n">
        <x:f>MAX(0,-BA67)</x:f>
        <x:v>0</x:v>
      </x:c>
      <x:c r="BB70" s="83" t="n">
        <x:f>MAX(0,-BB67)</x:f>
        <x:v>0</x:v>
      </x:c>
      <x:c r="BC70" s="83" t="n">
        <x:f>MAX(0,-BC67)</x:f>
        <x:v>0</x:v>
      </x:c>
      <x:c r="BD70" s="83" t="n">
        <x:f>MAX(0,-BD67)</x:f>
        <x:v>0</x:v>
      </x:c>
      <x:c r="BE70" s="83" t="n">
        <x:f>MAX(0,-BE67)</x:f>
        <x:v>0</x:v>
      </x:c>
      <x:c r="BF70" s="83" t="n">
        <x:f>MAX(0,-BF67)</x:f>
        <x:v>0</x:v>
      </x:c>
      <x:c r="BG70" s="83" t="n">
        <x:f>MAX(0,-BG67)</x:f>
        <x:v>0</x:v>
      </x:c>
      <x:c r="BH70" s="83" t="n">
        <x:f>MAX(0,-BH67)</x:f>
        <x:v>0</x:v>
      </x:c>
      <x:c r="BI70" s="83" t="n">
        <x:f>MAX(0,-BI67)</x:f>
        <x:v>0</x:v>
      </x:c>
      <x:c r="BJ70" s="83" t="n">
        <x:f>MAX(0,-BJ67)</x:f>
        <x:v>0</x:v>
      </x:c>
      <x:c r="BK70" s="83" t="n">
        <x:f>MAX(0,-BK67)</x:f>
        <x:v>0</x:v>
      </x:c>
      <x:c r="BL70" s="83" t="n">
        <x:f>MAX(0,-BL67)</x:f>
        <x:v>0</x:v>
      </x:c>
    </x:row>
    <x:row r="71" ht="23" customHeight="1">
      <x:c r="A71" s="2"/>
      <x:c r="B71" s="2"/>
      <x:c r="C71" s="20" t="str">
        <x:v>Unit economics</x:v>
      </x:c>
      <x:c r="D71" s="21"/>
      <x:c r="E71" s="21"/>
      <x:c r="F71" s="21"/>
      <x:c r="G71" s="21"/>
      <x:c r="H71" s="21"/>
      <x:c r="I71" s="21"/>
      <x:c r="J71" s="21"/>
      <x:c r="K71" s="21"/>
      <x:c r="L71" s="21"/>
      <x:c r="M71" s="21"/>
      <x:c r="N71" s="21"/>
      <x:c r="O71" s="21"/>
      <x:c r="P71" s="21"/>
      <x:c r="Q71" s="21"/>
      <x:c r="R71" s="62"/>
      <x:c r="S71" s="62"/>
      <x:c r="T71" s="62"/>
      <x:c r="U71" s="62"/>
      <x:c r="V71" s="62"/>
      <x:c r="W71" s="62"/>
      <x:c r="X71" s="62"/>
      <x:c r="Y71" s="62"/>
      <x:c r="Z71" s="62"/>
      <x:c r="AA71" s="62"/>
      <x:c r="AB71" s="62"/>
      <x:c r="AC71" s="62"/>
      <x:c r="AD71" s="62"/>
      <x:c r="AE71" s="62"/>
      <x:c r="AF71" s="62"/>
      <x:c r="AG71" s="62"/>
      <x:c r="AH71" s="62"/>
      <x:c r="AI71" s="62"/>
      <x:c r="AJ71" s="62"/>
      <x:c r="AK71" s="62"/>
      <x:c r="AL71" s="62"/>
      <x:c r="AM71" s="62"/>
      <x:c r="AN71" s="62"/>
      <x:c r="AO71" s="62"/>
      <x:c r="AP71" s="62"/>
      <x:c r="AQ71" s="62"/>
      <x:c r="AR71" s="62"/>
      <x:c r="AS71" s="62"/>
      <x:c r="AT71" s="62"/>
      <x:c r="AU71" s="62"/>
      <x:c r="AV71" s="62"/>
      <x:c r="AW71" s="62"/>
      <x:c r="AX71" s="62"/>
      <x:c r="AY71" s="62"/>
      <x:c r="AZ71" s="62"/>
      <x:c r="BA71" s="62"/>
      <x:c r="BB71" s="62"/>
      <x:c r="BC71" s="62"/>
      <x:c r="BD71" s="62"/>
      <x:c r="BE71" s="62"/>
      <x:c r="BF71" s="62"/>
      <x:c r="BG71" s="62"/>
      <x:c r="BH71" s="62"/>
      <x:c r="BI71" s="62"/>
      <x:c r="BJ71" s="62"/>
      <x:c r="BK71" s="62"/>
      <x:c r="BL71" s="62"/>
    </x:row>
    <x:row r="72" ht="23" customHeight="1">
      <x:c r="A72" s="2"/>
      <x:c r="B72" s="2"/>
      <x:c r="C72" s="4" t="str">
        <x:v>India gross profit / outlet (INR)</x:v>
      </x:c>
      <x:c r="D72" s="2"/>
      <x:c r="E72" s="66" t="n">
        <x:f>E13-'Assumptions'!$D$20-'Assumptions'!$D$22/60*'Assumptions'!$D$23</x:f>
        <x:v>1512.3666666666666</x:v>
      </x:c>
      <x:c r="F72" s="66" t="n">
        <x:f>F13-'Assumptions'!$D$20-'Assumptions'!$D$22/60*'Assumptions'!$D$23</x:f>
        <x:v>1512.3666666666666</x:v>
      </x:c>
      <x:c r="G72" s="66" t="n">
        <x:f>G13-'Assumptions'!$D$20-'Assumptions'!$D$22/60*'Assumptions'!$D$23</x:f>
        <x:v>1512.3666666666666</x:v>
      </x:c>
      <x:c r="H72" s="66" t="n">
        <x:f>H13-'Assumptions'!$D$20-'Assumptions'!$D$22/60*'Assumptions'!$D$23</x:f>
        <x:v>1512.3666666666666</x:v>
      </x:c>
      <x:c r="I72" s="66" t="n">
        <x:f>I13-'Assumptions'!$D$20-'Assumptions'!$D$22/60*'Assumptions'!$D$23</x:f>
        <x:v>1512.3666666666666</x:v>
      </x:c>
      <x:c r="J72" s="66" t="n">
        <x:f>J13-'Assumptions'!$D$20-'Assumptions'!$D$22/60*'Assumptions'!$D$23</x:f>
        <x:v>1512.3666666666666</x:v>
      </x:c>
      <x:c r="K72" s="66" t="n">
        <x:f>K13-'Assumptions'!$D$20-'Assumptions'!$D$22/60*'Assumptions'!$D$23</x:f>
        <x:v>1512.3666666666666</x:v>
      </x:c>
      <x:c r="L72" s="66" t="n">
        <x:f>L13-'Assumptions'!$D$20-'Assumptions'!$D$22/60*'Assumptions'!$D$23</x:f>
        <x:v>1512.3666666666666</x:v>
      </x:c>
      <x:c r="M72" s="66" t="n">
        <x:f>M13-'Assumptions'!$D$20-'Assumptions'!$D$22/60*'Assumptions'!$D$23</x:f>
        <x:v>1512.3666666666666</x:v>
      </x:c>
      <x:c r="N72" s="66" t="n">
        <x:f>N13-'Assumptions'!$D$20-'Assumptions'!$D$22/60*'Assumptions'!$D$23</x:f>
        <x:v>1512.3666666666666</x:v>
      </x:c>
      <x:c r="O72" s="66" t="n">
        <x:f>O13-'Assumptions'!$D$20-'Assumptions'!$D$22/60*'Assumptions'!$D$23</x:f>
        <x:v>1512.3666666666666</x:v>
      </x:c>
      <x:c r="P72" s="66" t="n">
        <x:f>P13-'Assumptions'!$D$20-'Assumptions'!$D$22/60*'Assumptions'!$D$23</x:f>
        <x:v>1512.3666666666666</x:v>
      </x:c>
      <x:c r="Q72" s="66" t="n">
        <x:f>Q13-'Assumptions'!$D$20-'Assumptions'!$D$22/60*'Assumptions'!$D$23</x:f>
        <x:v>1609.0333333333333</x:v>
      </x:c>
      <x:c r="R72" s="81" t="n">
        <x:f>R13-'Assumptions'!$D$20-'Assumptions'!$D$22/60*'Assumptions'!$D$23</x:f>
        <x:v>1609.0333333333333</x:v>
      </x:c>
      <x:c r="S72" s="81" t="n">
        <x:f>S13-'Assumptions'!$D$20-'Assumptions'!$D$22/60*'Assumptions'!$D$23</x:f>
        <x:v>1609.0333333333333</x:v>
      </x:c>
      <x:c r="T72" s="81" t="n">
        <x:f>T13-'Assumptions'!$D$20-'Assumptions'!$D$22/60*'Assumptions'!$D$23</x:f>
        <x:v>1609.0333333333333</x:v>
      </x:c>
      <x:c r="U72" s="81" t="n">
        <x:f>U13-'Assumptions'!$D$20-'Assumptions'!$D$22/60*'Assumptions'!$D$23</x:f>
        <x:v>1609.0333333333333</x:v>
      </x:c>
      <x:c r="V72" s="81" t="n">
        <x:f>V13-'Assumptions'!$D$20-'Assumptions'!$D$22/60*'Assumptions'!$D$23</x:f>
        <x:v>1609.0333333333333</x:v>
      </x:c>
      <x:c r="W72" s="81" t="n">
        <x:f>W13-'Assumptions'!$D$20-'Assumptions'!$D$22/60*'Assumptions'!$D$23</x:f>
        <x:v>1609.0333333333333</x:v>
      </x:c>
      <x:c r="X72" s="81" t="n">
        <x:f>X13-'Assumptions'!$D$20-'Assumptions'!$D$22/60*'Assumptions'!$D$23</x:f>
        <x:v>1609.0333333333333</x:v>
      </x:c>
      <x:c r="Y72" s="81" t="n">
        <x:f>Y13-'Assumptions'!$D$20-'Assumptions'!$D$22/60*'Assumptions'!$D$23</x:f>
        <x:v>1609.0333333333333</x:v>
      </x:c>
      <x:c r="Z72" s="81" t="n">
        <x:f>Z13-'Assumptions'!$D$20-'Assumptions'!$D$22/60*'Assumptions'!$D$23</x:f>
        <x:v>1609.0333333333333</x:v>
      </x:c>
      <x:c r="AA72" s="81" t="n">
        <x:f>AA13-'Assumptions'!$D$20-'Assumptions'!$D$22/60*'Assumptions'!$D$23</x:f>
        <x:v>1609.0333333333333</x:v>
      </x:c>
      <x:c r="AB72" s="81" t="n">
        <x:f>AB13-'Assumptions'!$D$20-'Assumptions'!$D$22/60*'Assumptions'!$D$23</x:f>
        <x:v>1609.0333333333333</x:v>
      </x:c>
      <x:c r="AC72" s="81" t="n">
        <x:f>AC13-'Assumptions'!$D$20-'Assumptions'!$D$22/60*'Assumptions'!$D$23</x:f>
        <x:v>1657.3666666666666</x:v>
      </x:c>
      <x:c r="AD72" s="81" t="n">
        <x:f>AD13-'Assumptions'!$D$20-'Assumptions'!$D$22/60*'Assumptions'!$D$23</x:f>
        <x:v>1657.3666666666666</x:v>
      </x:c>
      <x:c r="AE72" s="81" t="n">
        <x:f>AE13-'Assumptions'!$D$20-'Assumptions'!$D$22/60*'Assumptions'!$D$23</x:f>
        <x:v>1657.3666666666666</x:v>
      </x:c>
      <x:c r="AF72" s="81" t="n">
        <x:f>AF13-'Assumptions'!$D$20-'Assumptions'!$D$22/60*'Assumptions'!$D$23</x:f>
        <x:v>1657.3666666666666</x:v>
      </x:c>
      <x:c r="AG72" s="81" t="n">
        <x:f>AG13-'Assumptions'!$D$20-'Assumptions'!$D$22/60*'Assumptions'!$D$23</x:f>
        <x:v>1657.3666666666666</x:v>
      </x:c>
      <x:c r="AH72" s="81" t="n">
        <x:f>AH13-'Assumptions'!$D$20-'Assumptions'!$D$22/60*'Assumptions'!$D$23</x:f>
        <x:v>1657.3666666666666</x:v>
      </x:c>
      <x:c r="AI72" s="81" t="n">
        <x:f>AI13-'Assumptions'!$D$20-'Assumptions'!$D$22/60*'Assumptions'!$D$23</x:f>
        <x:v>1657.3666666666666</x:v>
      </x:c>
      <x:c r="AJ72" s="81" t="n">
        <x:f>AJ13-'Assumptions'!$D$20-'Assumptions'!$D$22/60*'Assumptions'!$D$23</x:f>
        <x:v>1657.3666666666666</x:v>
      </x:c>
      <x:c r="AK72" s="81" t="n">
        <x:f>AK13-'Assumptions'!$D$20-'Assumptions'!$D$22/60*'Assumptions'!$D$23</x:f>
        <x:v>1657.3666666666666</x:v>
      </x:c>
      <x:c r="AL72" s="81" t="n">
        <x:f>AL13-'Assumptions'!$D$20-'Assumptions'!$D$22/60*'Assumptions'!$D$23</x:f>
        <x:v>1657.3666666666666</x:v>
      </x:c>
      <x:c r="AM72" s="81" t="n">
        <x:f>AM13-'Assumptions'!$D$20-'Assumptions'!$D$22/60*'Assumptions'!$D$23</x:f>
        <x:v>1657.3666666666666</x:v>
      </x:c>
      <x:c r="AN72" s="81" t="n">
        <x:f>AN13-'Assumptions'!$D$20-'Assumptions'!$D$22/60*'Assumptions'!$D$23</x:f>
        <x:v>1657.3666666666666</x:v>
      </x:c>
      <x:c r="AO72" s="81" t="n">
        <x:f>AO13-'Assumptions'!$D$20-'Assumptions'!$D$22/60*'Assumptions'!$D$23</x:f>
        <x:v>1705.7</x:v>
      </x:c>
      <x:c r="AP72" s="81" t="n">
        <x:f>AP13-'Assumptions'!$D$20-'Assumptions'!$D$22/60*'Assumptions'!$D$23</x:f>
        <x:v>1705.7</x:v>
      </x:c>
      <x:c r="AQ72" s="81" t="n">
        <x:f>AQ13-'Assumptions'!$D$20-'Assumptions'!$D$22/60*'Assumptions'!$D$23</x:f>
        <x:v>1705.7</x:v>
      </x:c>
      <x:c r="AR72" s="81" t="n">
        <x:f>AR13-'Assumptions'!$D$20-'Assumptions'!$D$22/60*'Assumptions'!$D$23</x:f>
        <x:v>1705.7</x:v>
      </x:c>
      <x:c r="AS72" s="81" t="n">
        <x:f>AS13-'Assumptions'!$D$20-'Assumptions'!$D$22/60*'Assumptions'!$D$23</x:f>
        <x:v>1705.7</x:v>
      </x:c>
      <x:c r="AT72" s="81" t="n">
        <x:f>AT13-'Assumptions'!$D$20-'Assumptions'!$D$22/60*'Assumptions'!$D$23</x:f>
        <x:v>1705.7</x:v>
      </x:c>
      <x:c r="AU72" s="81" t="n">
        <x:f>AU13-'Assumptions'!$D$20-'Assumptions'!$D$22/60*'Assumptions'!$D$23</x:f>
        <x:v>1705.7</x:v>
      </x:c>
      <x:c r="AV72" s="81" t="n">
        <x:f>AV13-'Assumptions'!$D$20-'Assumptions'!$D$22/60*'Assumptions'!$D$23</x:f>
        <x:v>1705.7</x:v>
      </x:c>
      <x:c r="AW72" s="81" t="n">
        <x:f>AW13-'Assumptions'!$D$20-'Assumptions'!$D$22/60*'Assumptions'!$D$23</x:f>
        <x:v>1705.7</x:v>
      </x:c>
      <x:c r="AX72" s="81" t="n">
        <x:f>AX13-'Assumptions'!$D$20-'Assumptions'!$D$22/60*'Assumptions'!$D$23</x:f>
        <x:v>1705.7</x:v>
      </x:c>
      <x:c r="AY72" s="81" t="n">
        <x:f>AY13-'Assumptions'!$D$20-'Assumptions'!$D$22/60*'Assumptions'!$D$23</x:f>
        <x:v>1705.7</x:v>
      </x:c>
      <x:c r="AZ72" s="81" t="n">
        <x:f>AZ13-'Assumptions'!$D$20-'Assumptions'!$D$22/60*'Assumptions'!$D$23</x:f>
        <x:v>1705.7</x:v>
      </x:c>
      <x:c r="BA72" s="81" t="n">
        <x:f>BA13-'Assumptions'!$D$20-'Assumptions'!$D$22/60*'Assumptions'!$D$23</x:f>
        <x:v>1754.0333333333333</x:v>
      </x:c>
      <x:c r="BB72" s="81" t="n">
        <x:f>BB13-'Assumptions'!$D$20-'Assumptions'!$D$22/60*'Assumptions'!$D$23</x:f>
        <x:v>1754.0333333333333</x:v>
      </x:c>
      <x:c r="BC72" s="81" t="n">
        <x:f>BC13-'Assumptions'!$D$20-'Assumptions'!$D$22/60*'Assumptions'!$D$23</x:f>
        <x:v>1754.0333333333333</x:v>
      </x:c>
      <x:c r="BD72" s="81" t="n">
        <x:f>BD13-'Assumptions'!$D$20-'Assumptions'!$D$22/60*'Assumptions'!$D$23</x:f>
        <x:v>1754.0333333333333</x:v>
      </x:c>
      <x:c r="BE72" s="81" t="n">
        <x:f>BE13-'Assumptions'!$D$20-'Assumptions'!$D$22/60*'Assumptions'!$D$23</x:f>
        <x:v>1754.0333333333333</x:v>
      </x:c>
      <x:c r="BF72" s="81" t="n">
        <x:f>BF13-'Assumptions'!$D$20-'Assumptions'!$D$22/60*'Assumptions'!$D$23</x:f>
        <x:v>1754.0333333333333</x:v>
      </x:c>
      <x:c r="BG72" s="81" t="n">
        <x:f>BG13-'Assumptions'!$D$20-'Assumptions'!$D$22/60*'Assumptions'!$D$23</x:f>
        <x:v>1754.0333333333333</x:v>
      </x:c>
      <x:c r="BH72" s="81" t="n">
        <x:f>BH13-'Assumptions'!$D$20-'Assumptions'!$D$22/60*'Assumptions'!$D$23</x:f>
        <x:v>1754.0333333333333</x:v>
      </x:c>
      <x:c r="BI72" s="81" t="n">
        <x:f>BI13-'Assumptions'!$D$20-'Assumptions'!$D$22/60*'Assumptions'!$D$23</x:f>
        <x:v>1754.0333333333333</x:v>
      </x:c>
      <x:c r="BJ72" s="81" t="n">
        <x:f>BJ13-'Assumptions'!$D$20-'Assumptions'!$D$22/60*'Assumptions'!$D$23</x:f>
        <x:v>1754.0333333333333</x:v>
      </x:c>
      <x:c r="BK72" s="81" t="n">
        <x:f>BK13-'Assumptions'!$D$20-'Assumptions'!$D$22/60*'Assumptions'!$D$23</x:f>
        <x:v>1754.0333333333333</x:v>
      </x:c>
      <x:c r="BL72" s="81" t="n">
        <x:f>BL13-'Assumptions'!$D$20-'Assumptions'!$D$22/60*'Assumptions'!$D$23</x:f>
        <x:v>1754.0333333333333</x:v>
      </x:c>
    </x:row>
    <x:row r="73" ht="23" customHeight="1">
      <x:c r="A73" s="2"/>
      <x:c r="B73" s="2"/>
      <x:c r="C73" s="4" t="str">
        <x:v>UAE gross profit / outlet (INR)</x:v>
      </x:c>
      <x:c r="D73" s="2"/>
      <x:c r="E73" s="66" t="n">
        <x:f>E21*E22-'Assumptions'!$D$21-'Assumptions'!$D$24/60*'Assumptions'!$D$25</x:f>
        <x:v>4443.805309734514</x:v>
      </x:c>
      <x:c r="F73" s="66" t="n">
        <x:f>F21*F22-'Assumptions'!$D$21-'Assumptions'!$D$24/60*'Assumptions'!$D$25</x:f>
        <x:v>4443.805309734514</x:v>
      </x:c>
      <x:c r="G73" s="66" t="n">
        <x:f>G21*G22-'Assumptions'!$D$21-'Assumptions'!$D$24/60*'Assumptions'!$D$25</x:f>
        <x:v>4443.805309734514</x:v>
      </x:c>
      <x:c r="H73" s="66" t="n">
        <x:f>H21*H22-'Assumptions'!$D$21-'Assumptions'!$D$24/60*'Assumptions'!$D$25</x:f>
        <x:v>4443.805309734514</x:v>
      </x:c>
      <x:c r="I73" s="66" t="n">
        <x:f>I21*I22-'Assumptions'!$D$21-'Assumptions'!$D$24/60*'Assumptions'!$D$25</x:f>
        <x:v>4443.805309734514</x:v>
      </x:c>
      <x:c r="J73" s="66" t="n">
        <x:f>J21*J22-'Assumptions'!$D$21-'Assumptions'!$D$24/60*'Assumptions'!$D$25</x:f>
        <x:v>4443.805309734514</x:v>
      </x:c>
      <x:c r="K73" s="66" t="n">
        <x:f>K21*K22-'Assumptions'!$D$21-'Assumptions'!$D$24/60*'Assumptions'!$D$25</x:f>
        <x:v>4443.805309734514</x:v>
      </x:c>
      <x:c r="L73" s="66" t="n">
        <x:f>L21*L22-'Assumptions'!$D$21-'Assumptions'!$D$24/60*'Assumptions'!$D$25</x:f>
        <x:v>4443.805309734514</x:v>
      </x:c>
      <x:c r="M73" s="66" t="n">
        <x:f>M21*M22-'Assumptions'!$D$21-'Assumptions'!$D$24/60*'Assumptions'!$D$25</x:f>
        <x:v>4443.805309734514</x:v>
      </x:c>
      <x:c r="N73" s="66" t="n">
        <x:f>N21*N22-'Assumptions'!$D$21-'Assumptions'!$D$24/60*'Assumptions'!$D$25</x:f>
        <x:v>4443.805309734514</x:v>
      </x:c>
      <x:c r="O73" s="66" t="n">
        <x:f>O21*O22-'Assumptions'!$D$21-'Assumptions'!$D$24/60*'Assumptions'!$D$25</x:f>
        <x:v>4443.805309734514</x:v>
      </x:c>
      <x:c r="P73" s="66" t="n">
        <x:f>P21*P22-'Assumptions'!$D$21-'Assumptions'!$D$24/60*'Assumptions'!$D$25</x:f>
        <x:v>4443.805309734514</x:v>
      </x:c>
      <x:c r="Q73" s="66" t="n">
        <x:f>Q21*Q22-'Assumptions'!$D$21-'Assumptions'!$D$24/60*'Assumptions'!$D$25</x:f>
        <x:v>4623.008849557523</x:v>
      </x:c>
      <x:c r="R73" s="81" t="n">
        <x:f>R21*R22-'Assumptions'!$D$21-'Assumptions'!$D$24/60*'Assumptions'!$D$25</x:f>
        <x:v>4623.008849557523</x:v>
      </x:c>
      <x:c r="S73" s="81" t="n">
        <x:f>S21*S22-'Assumptions'!$D$21-'Assumptions'!$D$24/60*'Assumptions'!$D$25</x:f>
        <x:v>4623.008849557523</x:v>
      </x:c>
      <x:c r="T73" s="81" t="n">
        <x:f>T21*T22-'Assumptions'!$D$21-'Assumptions'!$D$24/60*'Assumptions'!$D$25</x:f>
        <x:v>4623.008849557523</x:v>
      </x:c>
      <x:c r="U73" s="81" t="n">
        <x:f>U21*U22-'Assumptions'!$D$21-'Assumptions'!$D$24/60*'Assumptions'!$D$25</x:f>
        <x:v>4623.008849557523</x:v>
      </x:c>
      <x:c r="V73" s="81" t="n">
        <x:f>V21*V22-'Assumptions'!$D$21-'Assumptions'!$D$24/60*'Assumptions'!$D$25</x:f>
        <x:v>4623.008849557523</x:v>
      </x:c>
      <x:c r="W73" s="81" t="n">
        <x:f>W21*W22-'Assumptions'!$D$21-'Assumptions'!$D$24/60*'Assumptions'!$D$25</x:f>
        <x:v>4623.008849557523</x:v>
      </x:c>
      <x:c r="X73" s="81" t="n">
        <x:f>X21*X22-'Assumptions'!$D$21-'Assumptions'!$D$24/60*'Assumptions'!$D$25</x:f>
        <x:v>4623.008849557523</x:v>
      </x:c>
      <x:c r="Y73" s="81" t="n">
        <x:f>Y21*Y22-'Assumptions'!$D$21-'Assumptions'!$D$24/60*'Assumptions'!$D$25</x:f>
        <x:v>4623.008849557523</x:v>
      </x:c>
      <x:c r="Z73" s="81" t="n">
        <x:f>Z21*Z22-'Assumptions'!$D$21-'Assumptions'!$D$24/60*'Assumptions'!$D$25</x:f>
        <x:v>4623.008849557523</x:v>
      </x:c>
      <x:c r="AA73" s="81" t="n">
        <x:f>AA21*AA22-'Assumptions'!$D$21-'Assumptions'!$D$24/60*'Assumptions'!$D$25</x:f>
        <x:v>4623.008849557523</x:v>
      </x:c>
      <x:c r="AB73" s="81" t="n">
        <x:f>AB21*AB22-'Assumptions'!$D$21-'Assumptions'!$D$24/60*'Assumptions'!$D$25</x:f>
        <x:v>4623.008849557523</x:v>
      </x:c>
      <x:c r="AC73" s="81" t="n">
        <x:f>AC21*AC22-'Assumptions'!$D$21-'Assumptions'!$D$24/60*'Assumptions'!$D$25</x:f>
        <x:v>4802.212389380531</x:v>
      </x:c>
      <x:c r="AD73" s="81" t="n">
        <x:f>AD21*AD22-'Assumptions'!$D$21-'Assumptions'!$D$24/60*'Assumptions'!$D$25</x:f>
        <x:v>4802.212389380531</x:v>
      </x:c>
      <x:c r="AE73" s="81" t="n">
        <x:f>AE21*AE22-'Assumptions'!$D$21-'Assumptions'!$D$24/60*'Assumptions'!$D$25</x:f>
        <x:v>4802.212389380531</x:v>
      </x:c>
      <x:c r="AF73" s="81" t="n">
        <x:f>AF21*AF22-'Assumptions'!$D$21-'Assumptions'!$D$24/60*'Assumptions'!$D$25</x:f>
        <x:v>4802.212389380531</x:v>
      </x:c>
      <x:c r="AG73" s="81" t="n">
        <x:f>AG21*AG22-'Assumptions'!$D$21-'Assumptions'!$D$24/60*'Assumptions'!$D$25</x:f>
        <x:v>4802.212389380531</x:v>
      </x:c>
      <x:c r="AH73" s="81" t="n">
        <x:f>AH21*AH22-'Assumptions'!$D$21-'Assumptions'!$D$24/60*'Assumptions'!$D$25</x:f>
        <x:v>4802.212389380531</x:v>
      </x:c>
      <x:c r="AI73" s="81" t="n">
        <x:f>AI21*AI22-'Assumptions'!$D$21-'Assumptions'!$D$24/60*'Assumptions'!$D$25</x:f>
        <x:v>4802.212389380531</x:v>
      </x:c>
      <x:c r="AJ73" s="81" t="n">
        <x:f>AJ21*AJ22-'Assumptions'!$D$21-'Assumptions'!$D$24/60*'Assumptions'!$D$25</x:f>
        <x:v>4802.212389380531</x:v>
      </x:c>
      <x:c r="AK73" s="81" t="n">
        <x:f>AK21*AK22-'Assumptions'!$D$21-'Assumptions'!$D$24/60*'Assumptions'!$D$25</x:f>
        <x:v>4802.212389380531</x:v>
      </x:c>
      <x:c r="AL73" s="81" t="n">
        <x:f>AL21*AL22-'Assumptions'!$D$21-'Assumptions'!$D$24/60*'Assumptions'!$D$25</x:f>
        <x:v>4802.212389380531</x:v>
      </x:c>
      <x:c r="AM73" s="81" t="n">
        <x:f>AM21*AM22-'Assumptions'!$D$21-'Assumptions'!$D$24/60*'Assumptions'!$D$25</x:f>
        <x:v>4802.212389380531</x:v>
      </x:c>
      <x:c r="AN73" s="81" t="n">
        <x:f>AN21*AN22-'Assumptions'!$D$21-'Assumptions'!$D$24/60*'Assumptions'!$D$25</x:f>
        <x:v>4802.212389380531</x:v>
      </x:c>
      <x:c r="AO73" s="81" t="n">
        <x:f>AO21*AO22-'Assumptions'!$D$21-'Assumptions'!$D$24/60*'Assumptions'!$D$25</x:f>
        <x:v>4981.41592920354</x:v>
      </x:c>
      <x:c r="AP73" s="81" t="n">
        <x:f>AP21*AP22-'Assumptions'!$D$21-'Assumptions'!$D$24/60*'Assumptions'!$D$25</x:f>
        <x:v>4981.41592920354</x:v>
      </x:c>
      <x:c r="AQ73" s="81" t="n">
        <x:f>AQ21*AQ22-'Assumptions'!$D$21-'Assumptions'!$D$24/60*'Assumptions'!$D$25</x:f>
        <x:v>4981.41592920354</x:v>
      </x:c>
      <x:c r="AR73" s="81" t="n">
        <x:f>AR21*AR22-'Assumptions'!$D$21-'Assumptions'!$D$24/60*'Assumptions'!$D$25</x:f>
        <x:v>4981.41592920354</x:v>
      </x:c>
      <x:c r="AS73" s="81" t="n">
        <x:f>AS21*AS22-'Assumptions'!$D$21-'Assumptions'!$D$24/60*'Assumptions'!$D$25</x:f>
        <x:v>4981.41592920354</x:v>
      </x:c>
      <x:c r="AT73" s="81" t="n">
        <x:f>AT21*AT22-'Assumptions'!$D$21-'Assumptions'!$D$24/60*'Assumptions'!$D$25</x:f>
        <x:v>4981.41592920354</x:v>
      </x:c>
      <x:c r="AU73" s="81" t="n">
        <x:f>AU21*AU22-'Assumptions'!$D$21-'Assumptions'!$D$24/60*'Assumptions'!$D$25</x:f>
        <x:v>4981.41592920354</x:v>
      </x:c>
      <x:c r="AV73" s="81" t="n">
        <x:f>AV21*AV22-'Assumptions'!$D$21-'Assumptions'!$D$24/60*'Assumptions'!$D$25</x:f>
        <x:v>4981.41592920354</x:v>
      </x:c>
      <x:c r="AW73" s="81" t="n">
        <x:f>AW21*AW22-'Assumptions'!$D$21-'Assumptions'!$D$24/60*'Assumptions'!$D$25</x:f>
        <x:v>4981.41592920354</x:v>
      </x:c>
      <x:c r="AX73" s="81" t="n">
        <x:f>AX21*AX22-'Assumptions'!$D$21-'Assumptions'!$D$24/60*'Assumptions'!$D$25</x:f>
        <x:v>4981.41592920354</x:v>
      </x:c>
      <x:c r="AY73" s="81" t="n">
        <x:f>AY21*AY22-'Assumptions'!$D$21-'Assumptions'!$D$24/60*'Assumptions'!$D$25</x:f>
        <x:v>4981.41592920354</x:v>
      </x:c>
      <x:c r="AZ73" s="81" t="n">
        <x:f>AZ21*AZ22-'Assumptions'!$D$21-'Assumptions'!$D$24/60*'Assumptions'!$D$25</x:f>
        <x:v>4981.41592920354</x:v>
      </x:c>
      <x:c r="BA73" s="81" t="n">
        <x:f>BA21*BA22-'Assumptions'!$D$21-'Assumptions'!$D$24/60*'Assumptions'!$D$25</x:f>
        <x:v>5160.619469026549</x:v>
      </x:c>
      <x:c r="BB73" s="81" t="n">
        <x:f>BB21*BB22-'Assumptions'!$D$21-'Assumptions'!$D$24/60*'Assumptions'!$D$25</x:f>
        <x:v>5160.619469026549</x:v>
      </x:c>
      <x:c r="BC73" s="81" t="n">
        <x:f>BC21*BC22-'Assumptions'!$D$21-'Assumptions'!$D$24/60*'Assumptions'!$D$25</x:f>
        <x:v>5160.619469026549</x:v>
      </x:c>
      <x:c r="BD73" s="81" t="n">
        <x:f>BD21*BD22-'Assumptions'!$D$21-'Assumptions'!$D$24/60*'Assumptions'!$D$25</x:f>
        <x:v>5160.619469026549</x:v>
      </x:c>
      <x:c r="BE73" s="81" t="n">
        <x:f>BE21*BE22-'Assumptions'!$D$21-'Assumptions'!$D$24/60*'Assumptions'!$D$25</x:f>
        <x:v>5160.619469026549</x:v>
      </x:c>
      <x:c r="BF73" s="81" t="n">
        <x:f>BF21*BF22-'Assumptions'!$D$21-'Assumptions'!$D$24/60*'Assumptions'!$D$25</x:f>
        <x:v>5160.619469026549</x:v>
      </x:c>
      <x:c r="BG73" s="81" t="n">
        <x:f>BG21*BG22-'Assumptions'!$D$21-'Assumptions'!$D$24/60*'Assumptions'!$D$25</x:f>
        <x:v>5160.619469026549</x:v>
      </x:c>
      <x:c r="BH73" s="81" t="n">
        <x:f>BH21*BH22-'Assumptions'!$D$21-'Assumptions'!$D$24/60*'Assumptions'!$D$25</x:f>
        <x:v>5160.619469026549</x:v>
      </x:c>
      <x:c r="BI73" s="81" t="n">
        <x:f>BI21*BI22-'Assumptions'!$D$21-'Assumptions'!$D$24/60*'Assumptions'!$D$25</x:f>
        <x:v>5160.619469026549</x:v>
      </x:c>
      <x:c r="BJ73" s="81" t="n">
        <x:f>BJ21*BJ22-'Assumptions'!$D$21-'Assumptions'!$D$24/60*'Assumptions'!$D$25</x:f>
        <x:v>5160.619469026549</x:v>
      </x:c>
      <x:c r="BK73" s="81" t="n">
        <x:f>BK21*BK22-'Assumptions'!$D$21-'Assumptions'!$D$24/60*'Assumptions'!$D$25</x:f>
        <x:v>5160.619469026549</x:v>
      </x:c>
      <x:c r="BL73" s="81" t="n">
        <x:f>BL21*BL22-'Assumptions'!$D$21-'Assumptions'!$D$24/60*'Assumptions'!$D$25</x:f>
        <x:v>5160.619469026549</x:v>
      </x:c>
    </x:row>
    <x:row r="74" ht="23" customHeight="1">
      <x:c r="A74" s="2"/>
      <x:c r="B74" s="2"/>
      <x:c r="C74" s="118" t="str">
        <x:v>India marginal CAC payback (mo)</x:v>
      </x:c>
      <x:c r="D74" s="119"/>
      <x:c r="E74" s="122" t="n">
        <x:f>IF(E72&gt;0,E49/E72,"n.a.")</x:f>
        <x:v>3.9672918824799983</x:v>
      </x:c>
      <x:c r="F74" s="122" t="n">
        <x:f>IF(F72&gt;0,F49/F72,"n.a.")</x:f>
        <x:v>3.9672918824799983</x:v>
      </x:c>
      <x:c r="G74" s="122" t="n">
        <x:f>IF(G72&gt;0,G49/G72,"n.a.")</x:f>
        <x:v>3.9672918824799983</x:v>
      </x:c>
      <x:c r="H74" s="122" t="n">
        <x:f>IF(H72&gt;0,H49/H72,"n.a.")</x:f>
        <x:v>3.9672918824799983</x:v>
      </x:c>
      <x:c r="I74" s="122" t="n">
        <x:f>IF(I72&gt;0,I49/I72,"n.a.")</x:f>
        <x:v>3.9672918824799983</x:v>
      </x:c>
      <x:c r="J74" s="122" t="n">
        <x:f>IF(J72&gt;0,J49/J72,"n.a.")</x:f>
        <x:v>3.9672918824799983</x:v>
      </x:c>
      <x:c r="K74" s="122" t="n">
        <x:f>IF(K72&gt;0,K49/K72,"n.a.")</x:f>
        <x:v>3.9672918824799983</x:v>
      </x:c>
      <x:c r="L74" s="122" t="n">
        <x:f>IF(L72&gt;0,L49/L72,"n.a.")</x:f>
        <x:v>3.9672918824799983</x:v>
      </x:c>
      <x:c r="M74" s="122" t="n">
        <x:f>IF(M72&gt;0,M49/M72,"n.a.")</x:f>
        <x:v>3.9672918824799983</x:v>
      </x:c>
      <x:c r="N74" s="122" t="n">
        <x:f>IF(N72&gt;0,N49/N72,"n.a.")</x:f>
        <x:v>3.9672918824799983</x:v>
      </x:c>
      <x:c r="O74" s="122" t="n">
        <x:f>IF(O72&gt;0,O49/O72,"n.a.")</x:f>
        <x:v>3.9672918824799983</x:v>
      </x:c>
      <x:c r="P74" s="122" t="n">
        <x:f>IF(P72&gt;0,P49/P72,"n.a.")</x:f>
        <x:v>3.9672918824799983</x:v>
      </x:c>
      <x:c r="Q74" s="122" t="n">
        <x:f>IF(Q72&gt;0,Q49/Q72,"n.a.")</x:f>
        <x:v>4.03969256903731</x:v>
      </x:c>
      <x:c r="R74" s="123" t="n">
        <x:f>IF(R72&gt;0,R49/R72,"n.a.")</x:f>
        <x:v>4.03969256903731</x:v>
      </x:c>
      <x:c r="S74" s="123" t="n">
        <x:f>IF(S72&gt;0,S49/S72,"n.a.")</x:f>
        <x:v>4.03969256903731</x:v>
      </x:c>
      <x:c r="T74" s="123" t="n">
        <x:f>IF(T72&gt;0,T49/T72,"n.a.")</x:f>
        <x:v>4.03969256903731</x:v>
      </x:c>
      <x:c r="U74" s="123" t="n">
        <x:f>IF(U72&gt;0,U49/U72,"n.a.")</x:f>
        <x:v>4.03969256903731</x:v>
      </x:c>
      <x:c r="V74" s="123" t="n">
        <x:f>IF(V72&gt;0,V49/V72,"n.a.")</x:f>
        <x:v>4.03969256903731</x:v>
      </x:c>
      <x:c r="W74" s="123" t="n">
        <x:f>IF(W72&gt;0,W49/W72,"n.a.")</x:f>
        <x:v>4.03969256903731</x:v>
      </x:c>
      <x:c r="X74" s="123" t="n">
        <x:f>IF(X72&gt;0,X49/X72,"n.a.")</x:f>
        <x:v>4.03969256903731</x:v>
      </x:c>
      <x:c r="Y74" s="123" t="n">
        <x:f>IF(Y72&gt;0,Y49/Y72,"n.a.")</x:f>
        <x:v>4.03969256903731</x:v>
      </x:c>
      <x:c r="Z74" s="123" t="n">
        <x:f>IF(Z72&gt;0,Z49/Z72,"n.a.")</x:f>
        <x:v>4.03969256903731</x:v>
      </x:c>
      <x:c r="AA74" s="123" t="n">
        <x:f>IF(AA72&gt;0,AA49/AA72,"n.a.")</x:f>
        <x:v>4.03969256903731</x:v>
      </x:c>
      <x:c r="AB74" s="123" t="n">
        <x:f>IF(AB72&gt;0,AB49/AB72,"n.a.")</x:f>
        <x:v>4.03969256903731</x:v>
      </x:c>
      <x:c r="AC74" s="123" t="n">
        <x:f>IF(AC72&gt;0,AC49/AC72,"n.a.")</x:f>
        <x:v>4.223567506687315</x:v>
      </x:c>
      <x:c r="AD74" s="123" t="n">
        <x:f>IF(AD72&gt;0,AD49/AD72,"n.a.")</x:f>
        <x:v>4.223567506687315</x:v>
      </x:c>
      <x:c r="AE74" s="123" t="n">
        <x:f>IF(AE72&gt;0,AE49/AE72,"n.a.")</x:f>
        <x:v>4.223567506687315</x:v>
      </x:c>
      <x:c r="AF74" s="123" t="n">
        <x:f>IF(AF72&gt;0,AF49/AF72,"n.a.")</x:f>
        <x:v>4.223567506687315</x:v>
      </x:c>
      <x:c r="AG74" s="123" t="n">
        <x:f>IF(AG72&gt;0,AG49/AG72,"n.a.")</x:f>
        <x:v>4.223567506687315</x:v>
      </x:c>
      <x:c r="AH74" s="123" t="n">
        <x:f>IF(AH72&gt;0,AH49/AH72,"n.a.")</x:f>
        <x:v>4.223567506687315</x:v>
      </x:c>
      <x:c r="AI74" s="123" t="n">
        <x:f>IF(AI72&gt;0,AI49/AI72,"n.a.")</x:f>
        <x:v>4.223567506687315</x:v>
      </x:c>
      <x:c r="AJ74" s="123" t="n">
        <x:f>IF(AJ72&gt;0,AJ49/AJ72,"n.a.")</x:f>
        <x:v>4.223567506687315</x:v>
      </x:c>
      <x:c r="AK74" s="123" t="n">
        <x:f>IF(AK72&gt;0,AK49/AK72,"n.a.")</x:f>
        <x:v>4.223567506687315</x:v>
      </x:c>
      <x:c r="AL74" s="123" t="n">
        <x:f>IF(AL72&gt;0,AL49/AL72,"n.a.")</x:f>
        <x:v>4.223567506687315</x:v>
      </x:c>
      <x:c r="AM74" s="123" t="n">
        <x:f>IF(AM72&gt;0,AM49/AM72,"n.a.")</x:f>
        <x:v>4.223567506687315</x:v>
      </x:c>
      <x:c r="AN74" s="123" t="n">
        <x:f>IF(AN72&gt;0,AN49/AN72,"n.a.")</x:f>
        <x:v>4.223567506687315</x:v>
      </x:c>
      <x:c r="AO74" s="123" t="n">
        <x:f>IF(AO72&gt;0,AO49/AO72,"n.a.")</x:f>
        <x:v>4.690156533974322</x:v>
      </x:c>
      <x:c r="AP74" s="123" t="n">
        <x:f>IF(AP72&gt;0,AP49/AP72,"n.a.")</x:f>
        <x:v>4.690156533974322</x:v>
      </x:c>
      <x:c r="AQ74" s="123" t="n">
        <x:f>IF(AQ72&gt;0,AQ49/AQ72,"n.a.")</x:f>
        <x:v>4.690156533974322</x:v>
      </x:c>
      <x:c r="AR74" s="123" t="n">
        <x:f>IF(AR72&gt;0,AR49/AR72,"n.a.")</x:f>
        <x:v>4.690156533974322</x:v>
      </x:c>
      <x:c r="AS74" s="123" t="n">
        <x:f>IF(AS72&gt;0,AS49/AS72,"n.a.")</x:f>
        <x:v>4.690156533974322</x:v>
      </x:c>
      <x:c r="AT74" s="123" t="n">
        <x:f>IF(AT72&gt;0,AT49/AT72,"n.a.")</x:f>
        <x:v>4.690156533974322</x:v>
      </x:c>
      <x:c r="AU74" s="123" t="n">
        <x:f>IF(AU72&gt;0,AU49/AU72,"n.a.")</x:f>
        <x:v>4.690156533974322</x:v>
      </x:c>
      <x:c r="AV74" s="123" t="n">
        <x:f>IF(AV72&gt;0,AV49/AV72,"n.a.")</x:f>
        <x:v>4.690156533974322</x:v>
      </x:c>
      <x:c r="AW74" s="123" t="n">
        <x:f>IF(AW72&gt;0,AW49/AW72,"n.a.")</x:f>
        <x:v>4.690156533974322</x:v>
      </x:c>
      <x:c r="AX74" s="123" t="n">
        <x:f>IF(AX72&gt;0,AX49/AX72,"n.a.")</x:f>
        <x:v>4.690156533974322</x:v>
      </x:c>
      <x:c r="AY74" s="123" t="n">
        <x:f>IF(AY72&gt;0,AY49/AY72,"n.a.")</x:f>
        <x:v>4.690156533974322</x:v>
      </x:c>
      <x:c r="AZ74" s="123" t="n">
        <x:f>IF(AZ72&gt;0,AZ49/AZ72,"n.a.")</x:f>
        <x:v>4.690156533974322</x:v>
      </x:c>
      <x:c r="BA74" s="123" t="n">
        <x:f>IF(BA72&gt;0,BA49/BA72,"n.a.")</x:f>
        <x:v>5.131031337298797</x:v>
      </x:c>
      <x:c r="BB74" s="123" t="n">
        <x:f>IF(BB72&gt;0,BB49/BB72,"n.a.")</x:f>
        <x:v>5.131031337298797</x:v>
      </x:c>
      <x:c r="BC74" s="123" t="n">
        <x:f>IF(BC72&gt;0,BC49/BC72,"n.a.")</x:f>
        <x:v>5.131031337298797</x:v>
      </x:c>
      <x:c r="BD74" s="123" t="n">
        <x:f>IF(BD72&gt;0,BD49/BD72,"n.a.")</x:f>
        <x:v>5.131031337298797</x:v>
      </x:c>
      <x:c r="BE74" s="123" t="n">
        <x:f>IF(BE72&gt;0,BE49/BE72,"n.a.")</x:f>
        <x:v>5.131031337298797</x:v>
      </x:c>
      <x:c r="BF74" s="123" t="n">
        <x:f>IF(BF72&gt;0,BF49/BF72,"n.a.")</x:f>
        <x:v>5.131031337298797</x:v>
      </x:c>
      <x:c r="BG74" s="123" t="n">
        <x:f>IF(BG72&gt;0,BG49/BG72,"n.a.")</x:f>
        <x:v>5.131031337298797</x:v>
      </x:c>
      <x:c r="BH74" s="123" t="n">
        <x:f>IF(BH72&gt;0,BH49/BH72,"n.a.")</x:f>
        <x:v>5.131031337298797</x:v>
      </x:c>
      <x:c r="BI74" s="123" t="n">
        <x:f>IF(BI72&gt;0,BI49/BI72,"n.a.")</x:f>
        <x:v>5.131031337298797</x:v>
      </x:c>
      <x:c r="BJ74" s="123" t="n">
        <x:f>IF(BJ72&gt;0,BJ49/BJ72,"n.a.")</x:f>
        <x:v>5.131031337298797</x:v>
      </x:c>
      <x:c r="BK74" s="123" t="n">
        <x:f>IF(BK72&gt;0,BK49/BK72,"n.a.")</x:f>
        <x:v>5.131031337298797</x:v>
      </x:c>
      <x:c r="BL74" s="123" t="n">
        <x:f>IF(BL72&gt;0,BL49/BL72,"n.a.")</x:f>
        <x:v>5.131031337298797</x:v>
      </x:c>
    </x:row>
    <x:row r="75" ht="23" customHeight="1">
      <x:c r="A75" s="2"/>
      <x:c r="B75" s="2"/>
      <x:c r="C75" s="118" t="str">
        <x:v>UAE marginal CAC payback (mo)</x:v>
      </x:c>
      <x:c r="D75" s="119"/>
      <x:c r="E75" s="122" t="n">
        <x:f>IF(E73&gt;0,E50*E22/E73,"n.a.")</x:f>
        <x:v>3.8603236850772444</x:v>
      </x:c>
      <x:c r="F75" s="122" t="n">
        <x:f>IF(F73&gt;0,F50*F22/F73,"n.a.")</x:f>
        <x:v>3.8603236850772444</x:v>
      </x:c>
      <x:c r="G75" s="122" t="n">
        <x:f>IF(G73&gt;0,G50*G22/G73,"n.a.")</x:f>
        <x:v>3.8603236850772444</x:v>
      </x:c>
      <x:c r="H75" s="122" t="n">
        <x:f>IF(H73&gt;0,H50*H22/H73,"n.a.")</x:f>
        <x:v>3.8603236850772444</x:v>
      </x:c>
      <x:c r="I75" s="122" t="n">
        <x:f>IF(I73&gt;0,I50*I22/I73,"n.a.")</x:f>
        <x:v>3.8603236850772444</x:v>
      </x:c>
      <x:c r="J75" s="122" t="n">
        <x:f>IF(J73&gt;0,J50*J22/J73,"n.a.")</x:f>
        <x:v>3.8603236850772444</x:v>
      </x:c>
      <x:c r="K75" s="122" t="n">
        <x:f>IF(K73&gt;0,K50*K22/K73,"n.a.")</x:f>
        <x:v>3.8603236850772444</x:v>
      </x:c>
      <x:c r="L75" s="122" t="n">
        <x:f>IF(L73&gt;0,L50*L22/L73,"n.a.")</x:f>
        <x:v>3.8603236850772444</x:v>
      </x:c>
      <x:c r="M75" s="122" t="n">
        <x:f>IF(M73&gt;0,M50*M22/M73,"n.a.")</x:f>
        <x:v>3.8603236850772444</x:v>
      </x:c>
      <x:c r="N75" s="122" t="n">
        <x:f>IF(N73&gt;0,N50*N22/N73,"n.a.")</x:f>
        <x:v>3.8603236850772444</x:v>
      </x:c>
      <x:c r="O75" s="122" t="n">
        <x:f>IF(O73&gt;0,O50*O22/O73,"n.a.")</x:f>
        <x:v>3.8603236850772444</x:v>
      </x:c>
      <x:c r="P75" s="122" t="n">
        <x:f>IF(P73&gt;0,P50*P22/P73,"n.a.")</x:f>
        <x:v>3.8603236850772444</x:v>
      </x:c>
      <x:c r="Q75" s="122" t="n">
        <x:f>IF(Q73&gt;0,Q50*Q22/Q73,"n.a.")</x:f>
        <x:v>3.975733301920132</x:v>
      </x:c>
      <x:c r="R75" s="123" t="n">
        <x:f>IF(R73&gt;0,R50*R22/R73,"n.a.")</x:f>
        <x:v>3.975733301920132</x:v>
      </x:c>
      <x:c r="S75" s="123" t="n">
        <x:f>IF(S73&gt;0,S50*S22/S73,"n.a.")</x:f>
        <x:v>3.975733301920132</x:v>
      </x:c>
      <x:c r="T75" s="123" t="n">
        <x:f>IF(T73&gt;0,T50*T22/T73,"n.a.")</x:f>
        <x:v>3.975733301920132</x:v>
      </x:c>
      <x:c r="U75" s="123" t="n">
        <x:f>IF(U73&gt;0,U50*U22/U73,"n.a.")</x:f>
        <x:v>3.975733301920132</x:v>
      </x:c>
      <x:c r="V75" s="123" t="n">
        <x:f>IF(V73&gt;0,V50*V22/V73,"n.a.")</x:f>
        <x:v>3.975733301920132</x:v>
      </x:c>
      <x:c r="W75" s="123" t="n">
        <x:f>IF(W73&gt;0,W50*W22/W73,"n.a.")</x:f>
        <x:v>3.975733301920132</x:v>
      </x:c>
      <x:c r="X75" s="123" t="n">
        <x:f>IF(X73&gt;0,X50*X22/X73,"n.a.")</x:f>
        <x:v>3.975733301920132</x:v>
      </x:c>
      <x:c r="Y75" s="123" t="n">
        <x:f>IF(Y73&gt;0,Y50*Y22/Y73,"n.a.")</x:f>
        <x:v>3.975733301920132</x:v>
      </x:c>
      <x:c r="Z75" s="123" t="n">
        <x:f>IF(Z73&gt;0,Z50*Z22/Z73,"n.a.")</x:f>
        <x:v>3.975733301920132</x:v>
      </x:c>
      <x:c r="AA75" s="123" t="n">
        <x:f>IF(AA73&gt;0,AA50*AA22/AA73,"n.a.")</x:f>
        <x:v>3.975733301920132</x:v>
      </x:c>
      <x:c r="AB75" s="123" t="n">
        <x:f>IF(AB73&gt;0,AB50*AB22/AB73,"n.a.")</x:f>
        <x:v>3.975733301920132</x:v>
      </x:c>
      <x:c r="AC75" s="123" t="n">
        <x:f>IF(AC73&gt;0,AC50*AC22/AC73,"n.a.")</x:f>
        <x:v>4.082529467215729</x:v>
      </x:c>
      <x:c r="AD75" s="123" t="n">
        <x:f>IF(AD73&gt;0,AD50*AD22/AD73,"n.a.")</x:f>
        <x:v>4.082529467215729</x:v>
      </x:c>
      <x:c r="AE75" s="123" t="n">
        <x:f>IF(AE73&gt;0,AE50*AE22/AE73,"n.a.")</x:f>
        <x:v>4.082529467215729</x:v>
      </x:c>
      <x:c r="AF75" s="123" t="n">
        <x:f>IF(AF73&gt;0,AF50*AF22/AF73,"n.a.")</x:f>
        <x:v>4.082529467215729</x:v>
      </x:c>
      <x:c r="AG75" s="123" t="n">
        <x:f>IF(AG73&gt;0,AG50*AG22/AG73,"n.a.")</x:f>
        <x:v>4.082529467215729</x:v>
      </x:c>
      <x:c r="AH75" s="123" t="n">
        <x:f>IF(AH73&gt;0,AH50*AH22/AH73,"n.a.")</x:f>
        <x:v>4.082529467215729</x:v>
      </x:c>
      <x:c r="AI75" s="123" t="n">
        <x:f>IF(AI73&gt;0,AI50*AI22/AI73,"n.a.")</x:f>
        <x:v>4.082529467215729</x:v>
      </x:c>
      <x:c r="AJ75" s="123" t="n">
        <x:f>IF(AJ73&gt;0,AJ50*AJ22/AJ73,"n.a.")</x:f>
        <x:v>4.082529467215729</x:v>
      </x:c>
      <x:c r="AK75" s="123" t="n">
        <x:f>IF(AK73&gt;0,AK50*AK22/AK73,"n.a.")</x:f>
        <x:v>4.082529467215729</x:v>
      </x:c>
      <x:c r="AL75" s="123" t="n">
        <x:f>IF(AL73&gt;0,AL50*AL22/AL73,"n.a.")</x:f>
        <x:v>4.082529467215729</x:v>
      </x:c>
      <x:c r="AM75" s="123" t="n">
        <x:f>IF(AM73&gt;0,AM50*AM22/AM73,"n.a.")</x:f>
        <x:v>4.082529467215729</x:v>
      </x:c>
      <x:c r="AN75" s="123" t="n">
        <x:f>IF(AN73&gt;0,AN50*AN22/AN73,"n.a.")</x:f>
        <x:v>4.082529467215729</x:v>
      </x:c>
      <x:c r="AO75" s="123" t="n">
        <x:f>IF(AO73&gt;0,AO50*AO22/AO73,"n.a.")</x:f>
        <x:v>4.427620700493325</x:v>
      </x:c>
      <x:c r="AP75" s="123" t="n">
        <x:f>IF(AP73&gt;0,AP50*AP22/AP73,"n.a.")</x:f>
        <x:v>4.427620700493325</x:v>
      </x:c>
      <x:c r="AQ75" s="123" t="n">
        <x:f>IF(AQ73&gt;0,AQ50*AQ22/AQ73,"n.a.")</x:f>
        <x:v>4.427620700493325</x:v>
      </x:c>
      <x:c r="AR75" s="123" t="n">
        <x:f>IF(AR73&gt;0,AR50*AR22/AR73,"n.a.")</x:f>
        <x:v>4.427620700493325</x:v>
      </x:c>
      <x:c r="AS75" s="123" t="n">
        <x:f>IF(AS73&gt;0,AS50*AS22/AS73,"n.a.")</x:f>
        <x:v>4.427620700493325</x:v>
      </x:c>
      <x:c r="AT75" s="123" t="n">
        <x:f>IF(AT73&gt;0,AT50*AT22/AT73,"n.a.")</x:f>
        <x:v>4.427620700493325</x:v>
      </x:c>
      <x:c r="AU75" s="123" t="n">
        <x:f>IF(AU73&gt;0,AU50*AU22/AU73,"n.a.")</x:f>
        <x:v>4.427620700493325</x:v>
      </x:c>
      <x:c r="AV75" s="123" t="n">
        <x:f>IF(AV73&gt;0,AV50*AV22/AV73,"n.a.")</x:f>
        <x:v>4.427620700493325</x:v>
      </x:c>
      <x:c r="AW75" s="123" t="n">
        <x:f>IF(AW73&gt;0,AW50*AW22/AW73,"n.a.")</x:f>
        <x:v>4.427620700493325</x:v>
      </x:c>
      <x:c r="AX75" s="123" t="n">
        <x:f>IF(AX73&gt;0,AX50*AX22/AX73,"n.a.")</x:f>
        <x:v>4.427620700493325</x:v>
      </x:c>
      <x:c r="AY75" s="123" t="n">
        <x:f>IF(AY73&gt;0,AY50*AY22/AY73,"n.a.")</x:f>
        <x:v>4.427620700493325</x:v>
      </x:c>
      <x:c r="AZ75" s="123" t="n">
        <x:f>IF(AZ73&gt;0,AZ50*AZ22/AZ73,"n.a.")</x:f>
        <x:v>4.427620700493325</x:v>
      </x:c>
      <x:c r="BA75" s="123" t="n">
        <x:f>IF(BA73&gt;0,BA50*BA22/BA73,"n.a.")</x:f>
        <x:v>4.748745210033043</x:v>
      </x:c>
      <x:c r="BB75" s="123" t="n">
        <x:f>IF(BB73&gt;0,BB50*BB22/BB73,"n.a.")</x:f>
        <x:v>4.748745210033043</x:v>
      </x:c>
      <x:c r="BC75" s="123" t="n">
        <x:f>IF(BC73&gt;0,BC50*BC22/BC73,"n.a.")</x:f>
        <x:v>4.748745210033043</x:v>
      </x:c>
      <x:c r="BD75" s="123" t="n">
        <x:f>IF(BD73&gt;0,BD50*BD22/BD73,"n.a.")</x:f>
        <x:v>4.748745210033043</x:v>
      </x:c>
      <x:c r="BE75" s="123" t="n">
        <x:f>IF(BE73&gt;0,BE50*BE22/BE73,"n.a.")</x:f>
        <x:v>4.748745210033043</x:v>
      </x:c>
      <x:c r="BF75" s="123" t="n">
        <x:f>IF(BF73&gt;0,BF50*BF22/BF73,"n.a.")</x:f>
        <x:v>4.748745210033043</x:v>
      </x:c>
      <x:c r="BG75" s="123" t="n">
        <x:f>IF(BG73&gt;0,BG50*BG22/BG73,"n.a.")</x:f>
        <x:v>4.748745210033043</x:v>
      </x:c>
      <x:c r="BH75" s="123" t="n">
        <x:f>IF(BH73&gt;0,BH50*BH22/BH73,"n.a.")</x:f>
        <x:v>4.748745210033043</x:v>
      </x:c>
      <x:c r="BI75" s="123" t="n">
        <x:f>IF(BI73&gt;0,BI50*BI22/BI73,"n.a.")</x:f>
        <x:v>4.748745210033043</x:v>
      </x:c>
      <x:c r="BJ75" s="123" t="n">
        <x:f>IF(BJ73&gt;0,BJ50*BJ22/BJ73,"n.a.")</x:f>
        <x:v>4.748745210033043</x:v>
      </x:c>
      <x:c r="BK75" s="123" t="n">
        <x:f>IF(BK73&gt;0,BK50*BK22/BK73,"n.a.")</x:f>
        <x:v>4.748745210033043</x:v>
      </x:c>
      <x:c r="BL75" s="123" t="n">
        <x:f>IF(BL73&gt;0,BL50*BL22/BL73,"n.a.")</x:f>
        <x:v>4.748745210033043</x:v>
      </x:c>
    </x:row>
    <x:row r="76" ht="23" customHeight="1">
      <x:c r="A76" s="2"/>
      <x:c r="B76" s="2"/>
      <x:c r="C76" s="118" t="str">
        <x:v>India annual logo retention</x:v>
      </x:c>
      <x:c r="D76" s="119"/>
      <x:c r="E76" s="124" t="n">
        <x:f>(1-'Assumptions'!E44)^'Assumptions'!$D$19</x:f>
        <x:v>0.9081133618083123</x:v>
      </x:c>
      <x:c r="F76" s="124" t="n">
        <x:f>(1-'Assumptions'!E44)^'Assumptions'!$D$19</x:f>
        <x:v>0.9081133618083123</x:v>
      </x:c>
      <x:c r="G76" s="124" t="n">
        <x:f>(1-'Assumptions'!E44)^'Assumptions'!$D$19</x:f>
        <x:v>0.9081133618083123</x:v>
      </x:c>
      <x:c r="H76" s="124" t="n">
        <x:f>(1-'Assumptions'!E44)^'Assumptions'!$D$19</x:f>
        <x:v>0.9081133618083123</x:v>
      </x:c>
      <x:c r="I76" s="124" t="n">
        <x:f>(1-'Assumptions'!E44)^'Assumptions'!$D$19</x:f>
        <x:v>0.9081133618083123</x:v>
      </x:c>
      <x:c r="J76" s="124" t="n">
        <x:f>(1-'Assumptions'!E44)^'Assumptions'!$D$19</x:f>
        <x:v>0.9081133618083123</x:v>
      </x:c>
      <x:c r="K76" s="124" t="n">
        <x:f>(1-'Assumptions'!E44)^'Assumptions'!$D$19</x:f>
        <x:v>0.9081133618083123</x:v>
      </x:c>
      <x:c r="L76" s="124" t="n">
        <x:f>(1-'Assumptions'!E44)^'Assumptions'!$D$19</x:f>
        <x:v>0.9081133618083123</x:v>
      </x:c>
      <x:c r="M76" s="124" t="n">
        <x:f>(1-'Assumptions'!E44)^'Assumptions'!$D$19</x:f>
        <x:v>0.9081133618083123</x:v>
      </x:c>
      <x:c r="N76" s="124" t="n">
        <x:f>(1-'Assumptions'!E44)^'Assumptions'!$D$19</x:f>
        <x:v>0.9081133618083123</x:v>
      </x:c>
      <x:c r="O76" s="124" t="n">
        <x:f>(1-'Assumptions'!E44)^'Assumptions'!$D$19</x:f>
        <x:v>0.9081133618083123</x:v>
      </x:c>
      <x:c r="P76" s="124" t="n">
        <x:f>(1-'Assumptions'!E44)^'Assumptions'!$D$19</x:f>
        <x:v>0.9081133618083123</x:v>
      </x:c>
      <x:c r="Q76" s="124" t="n">
        <x:f>(1-'Assumptions'!F44)^'Assumptions'!$D$19</x:f>
        <x:v>0.9081133618083123</x:v>
      </x:c>
      <x:c r="R76" s="125" t="n">
        <x:f>(1-'Assumptions'!F44)^'Assumptions'!$D$19</x:f>
        <x:v>0.9081133618083123</x:v>
      </x:c>
      <x:c r="S76" s="125" t="n">
        <x:f>(1-'Assumptions'!F44)^'Assumptions'!$D$19</x:f>
        <x:v>0.9081133618083123</x:v>
      </x:c>
      <x:c r="T76" s="125" t="n">
        <x:f>(1-'Assumptions'!F44)^'Assumptions'!$D$19</x:f>
        <x:v>0.9081133618083123</x:v>
      </x:c>
      <x:c r="U76" s="125" t="n">
        <x:f>(1-'Assumptions'!F44)^'Assumptions'!$D$19</x:f>
        <x:v>0.9081133618083123</x:v>
      </x:c>
      <x:c r="V76" s="125" t="n">
        <x:f>(1-'Assumptions'!F44)^'Assumptions'!$D$19</x:f>
        <x:v>0.9081133618083123</x:v>
      </x:c>
      <x:c r="W76" s="125" t="n">
        <x:f>(1-'Assumptions'!F44)^'Assumptions'!$D$19</x:f>
        <x:v>0.9081133618083123</x:v>
      </x:c>
      <x:c r="X76" s="125" t="n">
        <x:f>(1-'Assumptions'!F44)^'Assumptions'!$D$19</x:f>
        <x:v>0.9081133618083123</x:v>
      </x:c>
      <x:c r="Y76" s="125" t="n">
        <x:f>(1-'Assumptions'!F44)^'Assumptions'!$D$19</x:f>
        <x:v>0.9081133618083123</x:v>
      </x:c>
      <x:c r="Z76" s="125" t="n">
        <x:f>(1-'Assumptions'!F44)^'Assumptions'!$D$19</x:f>
        <x:v>0.9081133618083123</x:v>
      </x:c>
      <x:c r="AA76" s="125" t="n">
        <x:f>(1-'Assumptions'!F44)^'Assumptions'!$D$19</x:f>
        <x:v>0.9081133618083123</x:v>
      </x:c>
      <x:c r="AB76" s="125" t="n">
        <x:f>(1-'Assumptions'!F44)^'Assumptions'!$D$19</x:f>
        <x:v>0.9081133618083123</x:v>
      </x:c>
      <x:c r="AC76" s="125" t="n">
        <x:f>(1-'Assumptions'!G44)^'Assumptions'!$D$19</x:f>
        <x:v>0.9081133618083123</x:v>
      </x:c>
      <x:c r="AD76" s="125" t="n">
        <x:f>(1-'Assumptions'!G44)^'Assumptions'!$D$19</x:f>
        <x:v>0.9081133618083123</x:v>
      </x:c>
      <x:c r="AE76" s="125" t="n">
        <x:f>(1-'Assumptions'!G44)^'Assumptions'!$D$19</x:f>
        <x:v>0.9081133618083123</x:v>
      </x:c>
      <x:c r="AF76" s="125" t="n">
        <x:f>(1-'Assumptions'!G44)^'Assumptions'!$D$19</x:f>
        <x:v>0.9081133618083123</x:v>
      </x:c>
      <x:c r="AG76" s="125" t="n">
        <x:f>(1-'Assumptions'!G44)^'Assumptions'!$D$19</x:f>
        <x:v>0.9081133618083123</x:v>
      </x:c>
      <x:c r="AH76" s="125" t="n">
        <x:f>(1-'Assumptions'!G44)^'Assumptions'!$D$19</x:f>
        <x:v>0.9081133618083123</x:v>
      </x:c>
      <x:c r="AI76" s="125" t="n">
        <x:f>(1-'Assumptions'!G44)^'Assumptions'!$D$19</x:f>
        <x:v>0.9081133618083123</x:v>
      </x:c>
      <x:c r="AJ76" s="125" t="n">
        <x:f>(1-'Assumptions'!G44)^'Assumptions'!$D$19</x:f>
        <x:v>0.9081133618083123</x:v>
      </x:c>
      <x:c r="AK76" s="125" t="n">
        <x:f>(1-'Assumptions'!G44)^'Assumptions'!$D$19</x:f>
        <x:v>0.9081133618083123</x:v>
      </x:c>
      <x:c r="AL76" s="125" t="n">
        <x:f>(1-'Assumptions'!G44)^'Assumptions'!$D$19</x:f>
        <x:v>0.9081133618083123</x:v>
      </x:c>
      <x:c r="AM76" s="125" t="n">
        <x:f>(1-'Assumptions'!G44)^'Assumptions'!$D$19</x:f>
        <x:v>0.9081133618083123</x:v>
      </x:c>
      <x:c r="AN76" s="125" t="n">
        <x:f>(1-'Assumptions'!G44)^'Assumptions'!$D$19</x:f>
        <x:v>0.9081133618083123</x:v>
      </x:c>
      <x:c r="AO76" s="125" t="n">
        <x:f>(1-'Assumptions'!H44)^'Assumptions'!$D$19</x:f>
        <x:v>0.9081133618083123</x:v>
      </x:c>
      <x:c r="AP76" s="125" t="n">
        <x:f>(1-'Assumptions'!H44)^'Assumptions'!$D$19</x:f>
        <x:v>0.9081133618083123</x:v>
      </x:c>
      <x:c r="AQ76" s="125" t="n">
        <x:f>(1-'Assumptions'!H44)^'Assumptions'!$D$19</x:f>
        <x:v>0.9081133618083123</x:v>
      </x:c>
      <x:c r="AR76" s="125" t="n">
        <x:f>(1-'Assumptions'!H44)^'Assumptions'!$D$19</x:f>
        <x:v>0.9081133618083123</x:v>
      </x:c>
      <x:c r="AS76" s="125" t="n">
        <x:f>(1-'Assumptions'!H44)^'Assumptions'!$D$19</x:f>
        <x:v>0.9081133618083123</x:v>
      </x:c>
      <x:c r="AT76" s="125" t="n">
        <x:f>(1-'Assumptions'!H44)^'Assumptions'!$D$19</x:f>
        <x:v>0.9081133618083123</x:v>
      </x:c>
      <x:c r="AU76" s="125" t="n">
        <x:f>(1-'Assumptions'!H44)^'Assumptions'!$D$19</x:f>
        <x:v>0.9081133618083123</x:v>
      </x:c>
      <x:c r="AV76" s="125" t="n">
        <x:f>(1-'Assumptions'!H44)^'Assumptions'!$D$19</x:f>
        <x:v>0.9081133618083123</x:v>
      </x:c>
      <x:c r="AW76" s="125" t="n">
        <x:f>(1-'Assumptions'!H44)^'Assumptions'!$D$19</x:f>
        <x:v>0.9081133618083123</x:v>
      </x:c>
      <x:c r="AX76" s="125" t="n">
        <x:f>(1-'Assumptions'!H44)^'Assumptions'!$D$19</x:f>
        <x:v>0.9081133618083123</x:v>
      </x:c>
      <x:c r="AY76" s="125" t="n">
        <x:f>(1-'Assumptions'!H44)^'Assumptions'!$D$19</x:f>
        <x:v>0.9081133618083123</x:v>
      </x:c>
      <x:c r="AZ76" s="125" t="n">
        <x:f>(1-'Assumptions'!H44)^'Assumptions'!$D$19</x:f>
        <x:v>0.9081133618083123</x:v>
      </x:c>
      <x:c r="BA76" s="125" t="n">
        <x:f>(1-'Assumptions'!I44)^'Assumptions'!$D$19</x:f>
        <x:v>0.9081133618083123</x:v>
      </x:c>
      <x:c r="BB76" s="125" t="n">
        <x:f>(1-'Assumptions'!I44)^'Assumptions'!$D$19</x:f>
        <x:v>0.9081133618083123</x:v>
      </x:c>
      <x:c r="BC76" s="125" t="n">
        <x:f>(1-'Assumptions'!I44)^'Assumptions'!$D$19</x:f>
        <x:v>0.9081133618083123</x:v>
      </x:c>
      <x:c r="BD76" s="125" t="n">
        <x:f>(1-'Assumptions'!I44)^'Assumptions'!$D$19</x:f>
        <x:v>0.9081133618083123</x:v>
      </x:c>
      <x:c r="BE76" s="125" t="n">
        <x:f>(1-'Assumptions'!I44)^'Assumptions'!$D$19</x:f>
        <x:v>0.9081133618083123</x:v>
      </x:c>
      <x:c r="BF76" s="125" t="n">
        <x:f>(1-'Assumptions'!I44)^'Assumptions'!$D$19</x:f>
        <x:v>0.9081133618083123</x:v>
      </x:c>
      <x:c r="BG76" s="125" t="n">
        <x:f>(1-'Assumptions'!I44)^'Assumptions'!$D$19</x:f>
        <x:v>0.9081133618083123</x:v>
      </x:c>
      <x:c r="BH76" s="125" t="n">
        <x:f>(1-'Assumptions'!I44)^'Assumptions'!$D$19</x:f>
        <x:v>0.9081133618083123</x:v>
      </x:c>
      <x:c r="BI76" s="125" t="n">
        <x:f>(1-'Assumptions'!I44)^'Assumptions'!$D$19</x:f>
        <x:v>0.9081133618083123</x:v>
      </x:c>
      <x:c r="BJ76" s="125" t="n">
        <x:f>(1-'Assumptions'!I44)^'Assumptions'!$D$19</x:f>
        <x:v>0.9081133618083123</x:v>
      </x:c>
      <x:c r="BK76" s="125" t="n">
        <x:f>(1-'Assumptions'!I44)^'Assumptions'!$D$19</x:f>
        <x:v>0.9081133618083123</x:v>
      </x:c>
      <x:c r="BL76" s="125" t="n">
        <x:f>(1-'Assumptions'!I44)^'Assumptions'!$D$19</x:f>
        <x:v>0.9081133618083123</x:v>
      </x:c>
    </x:row>
    <x:row r="77" ht="23" customHeight="1">
      <x:c r="A77" s="2"/>
      <x:c r="B77" s="2"/>
      <x:c r="C77" s="118" t="str">
        <x:v>UAE annual logo retention</x:v>
      </x:c>
      <x:c r="D77" s="119"/>
      <x:c r="E77" s="124" t="n">
        <x:f>(1-'Assumptions'!E48)^'Assumptions'!$D$19</x:f>
        <x:v>0.9191597152919142</x:v>
      </x:c>
      <x:c r="F77" s="124" t="n">
        <x:f>(1-'Assumptions'!E48)^'Assumptions'!$D$19</x:f>
        <x:v>0.9191597152919142</x:v>
      </x:c>
      <x:c r="G77" s="124" t="n">
        <x:f>(1-'Assumptions'!E48)^'Assumptions'!$D$19</x:f>
        <x:v>0.9191597152919142</x:v>
      </x:c>
      <x:c r="H77" s="124" t="n">
        <x:f>(1-'Assumptions'!E48)^'Assumptions'!$D$19</x:f>
        <x:v>0.9191597152919142</x:v>
      </x:c>
      <x:c r="I77" s="124" t="n">
        <x:f>(1-'Assumptions'!E48)^'Assumptions'!$D$19</x:f>
        <x:v>0.9191597152919142</x:v>
      </x:c>
      <x:c r="J77" s="124" t="n">
        <x:f>(1-'Assumptions'!E48)^'Assumptions'!$D$19</x:f>
        <x:v>0.9191597152919142</x:v>
      </x:c>
      <x:c r="K77" s="124" t="n">
        <x:f>(1-'Assumptions'!E48)^'Assumptions'!$D$19</x:f>
        <x:v>0.9191597152919142</x:v>
      </x:c>
      <x:c r="L77" s="124" t="n">
        <x:f>(1-'Assumptions'!E48)^'Assumptions'!$D$19</x:f>
        <x:v>0.9191597152919142</x:v>
      </x:c>
      <x:c r="M77" s="124" t="n">
        <x:f>(1-'Assumptions'!E48)^'Assumptions'!$D$19</x:f>
        <x:v>0.9191597152919142</x:v>
      </x:c>
      <x:c r="N77" s="124" t="n">
        <x:f>(1-'Assumptions'!E48)^'Assumptions'!$D$19</x:f>
        <x:v>0.9191597152919142</x:v>
      </x:c>
      <x:c r="O77" s="124" t="n">
        <x:f>(1-'Assumptions'!E48)^'Assumptions'!$D$19</x:f>
        <x:v>0.9191597152919142</x:v>
      </x:c>
      <x:c r="P77" s="124" t="n">
        <x:f>(1-'Assumptions'!E48)^'Assumptions'!$D$19</x:f>
        <x:v>0.9191597152919142</x:v>
      </x:c>
      <x:c r="Q77" s="124" t="n">
        <x:f>(1-'Assumptions'!F48)^'Assumptions'!$D$19</x:f>
        <x:v>0.9191597152919142</x:v>
      </x:c>
      <x:c r="R77" s="125" t="n">
        <x:f>(1-'Assumptions'!F48)^'Assumptions'!$D$19</x:f>
        <x:v>0.9191597152919142</x:v>
      </x:c>
      <x:c r="S77" s="125" t="n">
        <x:f>(1-'Assumptions'!F48)^'Assumptions'!$D$19</x:f>
        <x:v>0.9191597152919142</x:v>
      </x:c>
      <x:c r="T77" s="125" t="n">
        <x:f>(1-'Assumptions'!F48)^'Assumptions'!$D$19</x:f>
        <x:v>0.9191597152919142</x:v>
      </x:c>
      <x:c r="U77" s="125" t="n">
        <x:f>(1-'Assumptions'!F48)^'Assumptions'!$D$19</x:f>
        <x:v>0.9191597152919142</x:v>
      </x:c>
      <x:c r="V77" s="125" t="n">
        <x:f>(1-'Assumptions'!F48)^'Assumptions'!$D$19</x:f>
        <x:v>0.9191597152919142</x:v>
      </x:c>
      <x:c r="W77" s="125" t="n">
        <x:f>(1-'Assumptions'!F48)^'Assumptions'!$D$19</x:f>
        <x:v>0.9191597152919142</x:v>
      </x:c>
      <x:c r="X77" s="125" t="n">
        <x:f>(1-'Assumptions'!F48)^'Assumptions'!$D$19</x:f>
        <x:v>0.9191597152919142</x:v>
      </x:c>
      <x:c r="Y77" s="125" t="n">
        <x:f>(1-'Assumptions'!F48)^'Assumptions'!$D$19</x:f>
        <x:v>0.9191597152919142</x:v>
      </x:c>
      <x:c r="Z77" s="125" t="n">
        <x:f>(1-'Assumptions'!F48)^'Assumptions'!$D$19</x:f>
        <x:v>0.9191597152919142</x:v>
      </x:c>
      <x:c r="AA77" s="125" t="n">
        <x:f>(1-'Assumptions'!F48)^'Assumptions'!$D$19</x:f>
        <x:v>0.9191597152919142</x:v>
      </x:c>
      <x:c r="AB77" s="125" t="n">
        <x:f>(1-'Assumptions'!F48)^'Assumptions'!$D$19</x:f>
        <x:v>0.9191597152919142</x:v>
      </x:c>
      <x:c r="AC77" s="125" t="n">
        <x:f>(1-'Assumptions'!G48)^'Assumptions'!$D$19</x:f>
        <x:v>0.9191597152919142</x:v>
      </x:c>
      <x:c r="AD77" s="125" t="n">
        <x:f>(1-'Assumptions'!G48)^'Assumptions'!$D$19</x:f>
        <x:v>0.9191597152919142</x:v>
      </x:c>
      <x:c r="AE77" s="125" t="n">
        <x:f>(1-'Assumptions'!G48)^'Assumptions'!$D$19</x:f>
        <x:v>0.9191597152919142</x:v>
      </x:c>
      <x:c r="AF77" s="125" t="n">
        <x:f>(1-'Assumptions'!G48)^'Assumptions'!$D$19</x:f>
        <x:v>0.9191597152919142</x:v>
      </x:c>
      <x:c r="AG77" s="125" t="n">
        <x:f>(1-'Assumptions'!G48)^'Assumptions'!$D$19</x:f>
        <x:v>0.9191597152919142</x:v>
      </x:c>
      <x:c r="AH77" s="125" t="n">
        <x:f>(1-'Assumptions'!G48)^'Assumptions'!$D$19</x:f>
        <x:v>0.9191597152919142</x:v>
      </x:c>
      <x:c r="AI77" s="125" t="n">
        <x:f>(1-'Assumptions'!G48)^'Assumptions'!$D$19</x:f>
        <x:v>0.9191597152919142</x:v>
      </x:c>
      <x:c r="AJ77" s="125" t="n">
        <x:f>(1-'Assumptions'!G48)^'Assumptions'!$D$19</x:f>
        <x:v>0.9191597152919142</x:v>
      </x:c>
      <x:c r="AK77" s="125" t="n">
        <x:f>(1-'Assumptions'!G48)^'Assumptions'!$D$19</x:f>
        <x:v>0.9191597152919142</x:v>
      </x:c>
      <x:c r="AL77" s="125" t="n">
        <x:f>(1-'Assumptions'!G48)^'Assumptions'!$D$19</x:f>
        <x:v>0.9191597152919142</x:v>
      </x:c>
      <x:c r="AM77" s="125" t="n">
        <x:f>(1-'Assumptions'!G48)^'Assumptions'!$D$19</x:f>
        <x:v>0.9191597152919142</x:v>
      </x:c>
      <x:c r="AN77" s="125" t="n">
        <x:f>(1-'Assumptions'!G48)^'Assumptions'!$D$19</x:f>
        <x:v>0.9191597152919142</x:v>
      </x:c>
      <x:c r="AO77" s="125" t="n">
        <x:f>(1-'Assumptions'!H48)^'Assumptions'!$D$19</x:f>
        <x:v>0.9191597152919142</x:v>
      </x:c>
      <x:c r="AP77" s="125" t="n">
        <x:f>(1-'Assumptions'!H48)^'Assumptions'!$D$19</x:f>
        <x:v>0.9191597152919142</x:v>
      </x:c>
      <x:c r="AQ77" s="125" t="n">
        <x:f>(1-'Assumptions'!H48)^'Assumptions'!$D$19</x:f>
        <x:v>0.9191597152919142</x:v>
      </x:c>
      <x:c r="AR77" s="125" t="n">
        <x:f>(1-'Assumptions'!H48)^'Assumptions'!$D$19</x:f>
        <x:v>0.9191597152919142</x:v>
      </x:c>
      <x:c r="AS77" s="125" t="n">
        <x:f>(1-'Assumptions'!H48)^'Assumptions'!$D$19</x:f>
        <x:v>0.9191597152919142</x:v>
      </x:c>
      <x:c r="AT77" s="125" t="n">
        <x:f>(1-'Assumptions'!H48)^'Assumptions'!$D$19</x:f>
        <x:v>0.9191597152919142</x:v>
      </x:c>
      <x:c r="AU77" s="125" t="n">
        <x:f>(1-'Assumptions'!H48)^'Assumptions'!$D$19</x:f>
        <x:v>0.9191597152919142</x:v>
      </x:c>
      <x:c r="AV77" s="125" t="n">
        <x:f>(1-'Assumptions'!H48)^'Assumptions'!$D$19</x:f>
        <x:v>0.9191597152919142</x:v>
      </x:c>
      <x:c r="AW77" s="125" t="n">
        <x:f>(1-'Assumptions'!H48)^'Assumptions'!$D$19</x:f>
        <x:v>0.9191597152919142</x:v>
      </x:c>
      <x:c r="AX77" s="125" t="n">
        <x:f>(1-'Assumptions'!H48)^'Assumptions'!$D$19</x:f>
        <x:v>0.9191597152919142</x:v>
      </x:c>
      <x:c r="AY77" s="125" t="n">
        <x:f>(1-'Assumptions'!H48)^'Assumptions'!$D$19</x:f>
        <x:v>0.9191597152919142</x:v>
      </x:c>
      <x:c r="AZ77" s="125" t="n">
        <x:f>(1-'Assumptions'!H48)^'Assumptions'!$D$19</x:f>
        <x:v>0.9191597152919142</x:v>
      </x:c>
      <x:c r="BA77" s="125" t="n">
        <x:f>(1-'Assumptions'!I48)^'Assumptions'!$D$19</x:f>
        <x:v>0.9191597152919142</x:v>
      </x:c>
      <x:c r="BB77" s="125" t="n">
        <x:f>(1-'Assumptions'!I48)^'Assumptions'!$D$19</x:f>
        <x:v>0.9191597152919142</x:v>
      </x:c>
      <x:c r="BC77" s="125" t="n">
        <x:f>(1-'Assumptions'!I48)^'Assumptions'!$D$19</x:f>
        <x:v>0.9191597152919142</x:v>
      </x:c>
      <x:c r="BD77" s="125" t="n">
        <x:f>(1-'Assumptions'!I48)^'Assumptions'!$D$19</x:f>
        <x:v>0.9191597152919142</x:v>
      </x:c>
      <x:c r="BE77" s="125" t="n">
        <x:f>(1-'Assumptions'!I48)^'Assumptions'!$D$19</x:f>
        <x:v>0.9191597152919142</x:v>
      </x:c>
      <x:c r="BF77" s="125" t="n">
        <x:f>(1-'Assumptions'!I48)^'Assumptions'!$D$19</x:f>
        <x:v>0.9191597152919142</x:v>
      </x:c>
      <x:c r="BG77" s="125" t="n">
        <x:f>(1-'Assumptions'!I48)^'Assumptions'!$D$19</x:f>
        <x:v>0.9191597152919142</x:v>
      </x:c>
      <x:c r="BH77" s="125" t="n">
        <x:f>(1-'Assumptions'!I48)^'Assumptions'!$D$19</x:f>
        <x:v>0.9191597152919142</x:v>
      </x:c>
      <x:c r="BI77" s="125" t="n">
        <x:f>(1-'Assumptions'!I48)^'Assumptions'!$D$19</x:f>
        <x:v>0.9191597152919142</x:v>
      </x:c>
      <x:c r="BJ77" s="125" t="n">
        <x:f>(1-'Assumptions'!I48)^'Assumptions'!$D$19</x:f>
        <x:v>0.9191597152919142</x:v>
      </x:c>
      <x:c r="BK77" s="125" t="n">
        <x:f>(1-'Assumptions'!I48)^'Assumptions'!$D$19</x:f>
        <x:v>0.9191597152919142</x:v>
      </x:c>
      <x:c r="BL77" s="125" t="n">
        <x:f>(1-'Assumptions'!I48)^'Assumptions'!$D$19</x:f>
        <x:v>0.9191597152919142</x:v>
      </x:c>
    </x:row>
    <x:row r="78" ht="23" customHeight="1">
      <x:c r="A78" s="2"/>
      <x:c r="B78" s="2"/>
      <x:c r="C78" s="20" t="str">
        <x:v>Reconciliations</x:v>
      </x:c>
      <x:c r="D78" s="21"/>
      <x:c r="E78" s="21"/>
      <x:c r="F78" s="21"/>
      <x:c r="G78" s="21"/>
      <x:c r="H78" s="21"/>
      <x:c r="I78" s="21"/>
      <x:c r="J78" s="21"/>
      <x:c r="K78" s="21"/>
      <x:c r="L78" s="21"/>
      <x:c r="M78" s="21"/>
      <x:c r="N78" s="21"/>
      <x:c r="O78" s="21"/>
      <x:c r="P78" s="21"/>
      <x:c r="Q78" s="21"/>
      <x:c r="R78" s="62"/>
      <x:c r="S78" s="62"/>
      <x:c r="T78" s="62"/>
      <x:c r="U78" s="62"/>
      <x:c r="V78" s="62"/>
      <x:c r="W78" s="62"/>
      <x:c r="X78" s="62"/>
      <x:c r="Y78" s="62"/>
      <x:c r="Z78" s="62"/>
      <x:c r="AA78" s="62"/>
      <x:c r="AB78" s="62"/>
      <x:c r="AC78" s="62"/>
      <x:c r="AD78" s="62"/>
      <x:c r="AE78" s="62"/>
      <x:c r="AF78" s="62"/>
      <x:c r="AG78" s="62"/>
      <x:c r="AH78" s="62"/>
      <x:c r="AI78" s="62"/>
      <x:c r="AJ78" s="62"/>
      <x:c r="AK78" s="62"/>
      <x:c r="AL78" s="62"/>
      <x:c r="AM78" s="62"/>
      <x:c r="AN78" s="62"/>
      <x:c r="AO78" s="62"/>
      <x:c r="AP78" s="62"/>
      <x:c r="AQ78" s="62"/>
      <x:c r="AR78" s="62"/>
      <x:c r="AS78" s="62"/>
      <x:c r="AT78" s="62"/>
      <x:c r="AU78" s="62"/>
      <x:c r="AV78" s="62"/>
      <x:c r="AW78" s="62"/>
      <x:c r="AX78" s="62"/>
      <x:c r="AY78" s="62"/>
      <x:c r="AZ78" s="62"/>
      <x:c r="BA78" s="62"/>
      <x:c r="BB78" s="62"/>
      <x:c r="BC78" s="62"/>
      <x:c r="BD78" s="62"/>
      <x:c r="BE78" s="62"/>
      <x:c r="BF78" s="62"/>
      <x:c r="BG78" s="62"/>
      <x:c r="BH78" s="62"/>
      <x:c r="BI78" s="62"/>
      <x:c r="BJ78" s="62"/>
      <x:c r="BK78" s="62"/>
      <x:c r="BL78" s="62"/>
    </x:row>
    <x:row r="79" ht="23" customHeight="1">
      <x:c r="A79" s="2"/>
      <x:c r="B79" s="2"/>
      <x:c r="C79" s="4" t="str">
        <x:v>India outlet reconciliation</x:v>
      </x:c>
      <x:c r="D79" s="2"/>
      <x:c r="E79" s="74" t="n">
        <x:f>E8+E9-E10-E11</x:f>
        <x:v>0</x:v>
      </x:c>
      <x:c r="F79" s="74" t="n">
        <x:f>F8+F9-F10-F11</x:f>
        <x:v>0</x:v>
      </x:c>
      <x:c r="G79" s="74" t="n">
        <x:f>G8+G9-G10-G11</x:f>
        <x:v>0</x:v>
      </x:c>
      <x:c r="H79" s="74" t="n">
        <x:f>H8+H9-H10-H11</x:f>
        <x:v>0</x:v>
      </x:c>
      <x:c r="I79" s="74" t="n">
        <x:f>I8+I9-I10-I11</x:f>
        <x:v>0</x:v>
      </x:c>
      <x:c r="J79" s="74" t="n">
        <x:f>J8+J9-J10-J11</x:f>
        <x:v>0</x:v>
      </x:c>
      <x:c r="K79" s="74" t="n">
        <x:f>K8+K9-K10-K11</x:f>
        <x:v>0</x:v>
      </x:c>
      <x:c r="L79" s="74" t="n">
        <x:f>L8+L9-L10-L11</x:f>
        <x:v>0</x:v>
      </x:c>
      <x:c r="M79" s="74" t="n">
        <x:f>M8+M9-M10-M11</x:f>
        <x:v>0</x:v>
      </x:c>
      <x:c r="N79" s="74" t="n">
        <x:f>N8+N9-N10-N11</x:f>
        <x:v>0</x:v>
      </x:c>
      <x:c r="O79" s="74" t="n">
        <x:f>O8+O9-O10-O11</x:f>
        <x:v>0</x:v>
      </x:c>
      <x:c r="P79" s="74" t="n">
        <x:f>P8+P9-P10-P11</x:f>
        <x:v>0</x:v>
      </x:c>
      <x:c r="Q79" s="74" t="n">
        <x:f>Q8+Q9-Q10-Q11</x:f>
        <x:v>0</x:v>
      </x:c>
      <x:c r="R79" s="92" t="n">
        <x:f>R8+R9-R10-R11</x:f>
        <x:v>0</x:v>
      </x:c>
      <x:c r="S79" s="92" t="n">
        <x:f>S8+S9-S10-S11</x:f>
        <x:v>0</x:v>
      </x:c>
      <x:c r="T79" s="92" t="n">
        <x:f>T8+T9-T10-T11</x:f>
        <x:v>0</x:v>
      </x:c>
      <x:c r="U79" s="92" t="n">
        <x:f>U8+U9-U10-U11</x:f>
        <x:v>0</x:v>
      </x:c>
      <x:c r="V79" s="92" t="n">
        <x:f>V8+V9-V10-V11</x:f>
        <x:v>0</x:v>
      </x:c>
      <x:c r="W79" s="92" t="n">
        <x:f>W8+W9-W10-W11</x:f>
        <x:v>0</x:v>
      </x:c>
      <x:c r="X79" s="92" t="n">
        <x:f>X8+X9-X10-X11</x:f>
        <x:v>0</x:v>
      </x:c>
      <x:c r="Y79" s="92" t="n">
        <x:f>Y8+Y9-Y10-Y11</x:f>
        <x:v>0</x:v>
      </x:c>
      <x:c r="Z79" s="92" t="n">
        <x:f>Z8+Z9-Z10-Z11</x:f>
        <x:v>0</x:v>
      </x:c>
      <x:c r="AA79" s="92" t="n">
        <x:f>AA8+AA9-AA10-AA11</x:f>
        <x:v>0</x:v>
      </x:c>
      <x:c r="AB79" s="92" t="n">
        <x:f>AB8+AB9-AB10-AB11</x:f>
        <x:v>0</x:v>
      </x:c>
      <x:c r="AC79" s="92" t="n">
        <x:f>AC8+AC9-AC10-AC11</x:f>
        <x:v>0</x:v>
      </x:c>
      <x:c r="AD79" s="92" t="n">
        <x:f>AD8+AD9-AD10-AD11</x:f>
        <x:v>0</x:v>
      </x:c>
      <x:c r="AE79" s="92" t="n">
        <x:f>AE8+AE9-AE10-AE11</x:f>
        <x:v>0</x:v>
      </x:c>
      <x:c r="AF79" s="92" t="n">
        <x:f>AF8+AF9-AF10-AF11</x:f>
        <x:v>0</x:v>
      </x:c>
      <x:c r="AG79" s="92" t="n">
        <x:f>AG8+AG9-AG10-AG11</x:f>
        <x:v>0</x:v>
      </x:c>
      <x:c r="AH79" s="92" t="n">
        <x:f>AH8+AH9-AH10-AH11</x:f>
        <x:v>0</x:v>
      </x:c>
      <x:c r="AI79" s="92" t="n">
        <x:f>AI8+AI9-AI10-AI11</x:f>
        <x:v>0</x:v>
      </x:c>
      <x:c r="AJ79" s="92" t="n">
        <x:f>AJ8+AJ9-AJ10-AJ11</x:f>
        <x:v>0</x:v>
      </x:c>
      <x:c r="AK79" s="92" t="n">
        <x:f>AK8+AK9-AK10-AK11</x:f>
        <x:v>0</x:v>
      </x:c>
      <x:c r="AL79" s="92" t="n">
        <x:f>AL8+AL9-AL10-AL11</x:f>
        <x:v>0</x:v>
      </x:c>
      <x:c r="AM79" s="92" t="n">
        <x:f>AM8+AM9-AM10-AM11</x:f>
        <x:v>0</x:v>
      </x:c>
      <x:c r="AN79" s="92" t="n">
        <x:f>AN8+AN9-AN10-AN11</x:f>
        <x:v>0</x:v>
      </x:c>
      <x:c r="AO79" s="92" t="n">
        <x:f>AO8+AO9-AO10-AO11</x:f>
        <x:v>0</x:v>
      </x:c>
      <x:c r="AP79" s="92" t="n">
        <x:f>AP8+AP9-AP10-AP11</x:f>
        <x:v>0</x:v>
      </x:c>
      <x:c r="AQ79" s="92" t="n">
        <x:f>AQ8+AQ9-AQ10-AQ11</x:f>
        <x:v>0</x:v>
      </x:c>
      <x:c r="AR79" s="92" t="n">
        <x:f>AR8+AR9-AR10-AR11</x:f>
        <x:v>0</x:v>
      </x:c>
      <x:c r="AS79" s="92" t="n">
        <x:f>AS8+AS9-AS10-AS11</x:f>
        <x:v>0</x:v>
      </x:c>
      <x:c r="AT79" s="92" t="n">
        <x:f>AT8+AT9-AT10-AT11</x:f>
        <x:v>0</x:v>
      </x:c>
      <x:c r="AU79" s="92" t="n">
        <x:f>AU8+AU9-AU10-AU11</x:f>
        <x:v>0</x:v>
      </x:c>
      <x:c r="AV79" s="92" t="n">
        <x:f>AV8+AV9-AV10-AV11</x:f>
        <x:v>0</x:v>
      </x:c>
      <x:c r="AW79" s="92" t="n">
        <x:f>AW8+AW9-AW10-AW11</x:f>
        <x:v>0</x:v>
      </x:c>
      <x:c r="AX79" s="92" t="n">
        <x:f>AX8+AX9-AX10-AX11</x:f>
        <x:v>0</x:v>
      </x:c>
      <x:c r="AY79" s="92" t="n">
        <x:f>AY8+AY9-AY10-AY11</x:f>
        <x:v>0</x:v>
      </x:c>
      <x:c r="AZ79" s="92" t="n">
        <x:f>AZ8+AZ9-AZ10-AZ11</x:f>
        <x:v>0</x:v>
      </x:c>
      <x:c r="BA79" s="92" t="n">
        <x:f>BA8+BA9-BA10-BA11</x:f>
        <x:v>0</x:v>
      </x:c>
      <x:c r="BB79" s="92" t="n">
        <x:f>BB8+BB9-BB10-BB11</x:f>
        <x:v>0</x:v>
      </x:c>
      <x:c r="BC79" s="92" t="n">
        <x:f>BC8+BC9-BC10-BC11</x:f>
        <x:v>0</x:v>
      </x:c>
      <x:c r="BD79" s="92" t="n">
        <x:f>BD8+BD9-BD10-BD11</x:f>
        <x:v>0</x:v>
      </x:c>
      <x:c r="BE79" s="92" t="n">
        <x:f>BE8+BE9-BE10-BE11</x:f>
        <x:v>0</x:v>
      </x:c>
      <x:c r="BF79" s="92" t="n">
        <x:f>BF8+BF9-BF10-BF11</x:f>
        <x:v>0</x:v>
      </x:c>
      <x:c r="BG79" s="92" t="n">
        <x:f>BG8+BG9-BG10-BG11</x:f>
        <x:v>0</x:v>
      </x:c>
      <x:c r="BH79" s="92" t="n">
        <x:f>BH8+BH9-BH10-BH11</x:f>
        <x:v>0</x:v>
      </x:c>
      <x:c r="BI79" s="92" t="n">
        <x:f>BI8+BI9-BI10-BI11</x:f>
        <x:v>0</x:v>
      </x:c>
      <x:c r="BJ79" s="92" t="n">
        <x:f>BJ8+BJ9-BJ10-BJ11</x:f>
        <x:v>0</x:v>
      </x:c>
      <x:c r="BK79" s="92" t="n">
        <x:f>BK8+BK9-BK10-BK11</x:f>
        <x:v>0</x:v>
      </x:c>
      <x:c r="BL79" s="92" t="n">
        <x:f>BL8+BL9-BL10-BL11</x:f>
        <x:v>0</x:v>
      </x:c>
    </x:row>
    <x:row r="80" ht="23" customHeight="1">
      <x:c r="A80" s="2"/>
      <x:c r="B80" s="2"/>
      <x:c r="C80" s="4" t="str">
        <x:v>UAE outlet reconciliation</x:v>
      </x:c>
      <x:c r="D80" s="2"/>
      <x:c r="E80" s="74" t="n">
        <x:f>E16+E17-E18-E19</x:f>
        <x:v>0</x:v>
      </x:c>
      <x:c r="F80" s="74" t="n">
        <x:f>F16+F17-F18-F19</x:f>
        <x:v>0</x:v>
      </x:c>
      <x:c r="G80" s="74" t="n">
        <x:f>G16+G17-G18-G19</x:f>
        <x:v>0</x:v>
      </x:c>
      <x:c r="H80" s="74" t="n">
        <x:f>H16+H17-H18-H19</x:f>
        <x:v>0</x:v>
      </x:c>
      <x:c r="I80" s="74" t="n">
        <x:f>I16+I17-I18-I19</x:f>
        <x:v>0</x:v>
      </x:c>
      <x:c r="J80" s="74" t="n">
        <x:f>J16+J17-J18-J19</x:f>
        <x:v>0</x:v>
      </x:c>
      <x:c r="K80" s="74" t="n">
        <x:f>K16+K17-K18-K19</x:f>
        <x:v>0</x:v>
      </x:c>
      <x:c r="L80" s="74" t="n">
        <x:f>L16+L17-L18-L19</x:f>
        <x:v>0</x:v>
      </x:c>
      <x:c r="M80" s="74" t="n">
        <x:f>M16+M17-M18-M19</x:f>
        <x:v>0</x:v>
      </x:c>
      <x:c r="N80" s="74" t="n">
        <x:f>N16+N17-N18-N19</x:f>
        <x:v>0</x:v>
      </x:c>
      <x:c r="O80" s="74" t="n">
        <x:f>O16+O17-O18-O19</x:f>
        <x:v>0</x:v>
      </x:c>
      <x:c r="P80" s="74" t="n">
        <x:f>P16+P17-P18-P19</x:f>
        <x:v>0</x:v>
      </x:c>
      <x:c r="Q80" s="74" t="n">
        <x:f>Q16+Q17-Q18-Q19</x:f>
        <x:v>0</x:v>
      </x:c>
      <x:c r="R80" s="92" t="n">
        <x:f>R16+R17-R18-R19</x:f>
        <x:v>0</x:v>
      </x:c>
      <x:c r="S80" s="92" t="n">
        <x:f>S16+S17-S18-S19</x:f>
        <x:v>0</x:v>
      </x:c>
      <x:c r="T80" s="92" t="n">
        <x:f>T16+T17-T18-T19</x:f>
        <x:v>0</x:v>
      </x:c>
      <x:c r="U80" s="92" t="n">
        <x:f>U16+U17-U18-U19</x:f>
        <x:v>0</x:v>
      </x:c>
      <x:c r="V80" s="92" t="n">
        <x:f>V16+V17-V18-V19</x:f>
        <x:v>0</x:v>
      </x:c>
      <x:c r="W80" s="92" t="n">
        <x:f>W16+W17-W18-W19</x:f>
        <x:v>0</x:v>
      </x:c>
      <x:c r="X80" s="92" t="n">
        <x:f>X16+X17-X18-X19</x:f>
        <x:v>0</x:v>
      </x:c>
      <x:c r="Y80" s="92" t="n">
        <x:f>Y16+Y17-Y18-Y19</x:f>
        <x:v>0</x:v>
      </x:c>
      <x:c r="Z80" s="92" t="n">
        <x:f>Z16+Z17-Z18-Z19</x:f>
        <x:v>0</x:v>
      </x:c>
      <x:c r="AA80" s="92" t="n">
        <x:f>AA16+AA17-AA18-AA19</x:f>
        <x:v>0</x:v>
      </x:c>
      <x:c r="AB80" s="92" t="n">
        <x:f>AB16+AB17-AB18-AB19</x:f>
        <x:v>0</x:v>
      </x:c>
      <x:c r="AC80" s="92" t="n">
        <x:f>AC16+AC17-AC18-AC19</x:f>
        <x:v>0</x:v>
      </x:c>
      <x:c r="AD80" s="92" t="n">
        <x:f>AD16+AD17-AD18-AD19</x:f>
        <x:v>0</x:v>
      </x:c>
      <x:c r="AE80" s="92" t="n">
        <x:f>AE16+AE17-AE18-AE19</x:f>
        <x:v>0</x:v>
      </x:c>
      <x:c r="AF80" s="92" t="n">
        <x:f>AF16+AF17-AF18-AF19</x:f>
        <x:v>0</x:v>
      </x:c>
      <x:c r="AG80" s="92" t="n">
        <x:f>AG16+AG17-AG18-AG19</x:f>
        <x:v>0</x:v>
      </x:c>
      <x:c r="AH80" s="92" t="n">
        <x:f>AH16+AH17-AH18-AH19</x:f>
        <x:v>0</x:v>
      </x:c>
      <x:c r="AI80" s="92" t="n">
        <x:f>AI16+AI17-AI18-AI19</x:f>
        <x:v>0</x:v>
      </x:c>
      <x:c r="AJ80" s="92" t="n">
        <x:f>AJ16+AJ17-AJ18-AJ19</x:f>
        <x:v>0</x:v>
      </x:c>
      <x:c r="AK80" s="92" t="n">
        <x:f>AK16+AK17-AK18-AK19</x:f>
        <x:v>0</x:v>
      </x:c>
      <x:c r="AL80" s="92" t="n">
        <x:f>AL16+AL17-AL18-AL19</x:f>
        <x:v>0</x:v>
      </x:c>
      <x:c r="AM80" s="92" t="n">
        <x:f>AM16+AM17-AM18-AM19</x:f>
        <x:v>0</x:v>
      </x:c>
      <x:c r="AN80" s="92" t="n">
        <x:f>AN16+AN17-AN18-AN19</x:f>
        <x:v>0</x:v>
      </x:c>
      <x:c r="AO80" s="92" t="n">
        <x:f>AO16+AO17-AO18-AO19</x:f>
        <x:v>0</x:v>
      </x:c>
      <x:c r="AP80" s="92" t="n">
        <x:f>AP16+AP17-AP18-AP19</x:f>
        <x:v>0</x:v>
      </x:c>
      <x:c r="AQ80" s="92" t="n">
        <x:f>AQ16+AQ17-AQ18-AQ19</x:f>
        <x:v>0</x:v>
      </x:c>
      <x:c r="AR80" s="92" t="n">
        <x:f>AR16+AR17-AR18-AR19</x:f>
        <x:v>0</x:v>
      </x:c>
      <x:c r="AS80" s="92" t="n">
        <x:f>AS16+AS17-AS18-AS19</x:f>
        <x:v>0</x:v>
      </x:c>
      <x:c r="AT80" s="92" t="n">
        <x:f>AT16+AT17-AT18-AT19</x:f>
        <x:v>0</x:v>
      </x:c>
      <x:c r="AU80" s="92" t="n">
        <x:f>AU16+AU17-AU18-AU19</x:f>
        <x:v>0</x:v>
      </x:c>
      <x:c r="AV80" s="92" t="n">
        <x:f>AV16+AV17-AV18-AV19</x:f>
        <x:v>0</x:v>
      </x:c>
      <x:c r="AW80" s="92" t="n">
        <x:f>AW16+AW17-AW18-AW19</x:f>
        <x:v>0</x:v>
      </x:c>
      <x:c r="AX80" s="92" t="n">
        <x:f>AX16+AX17-AX18-AX19</x:f>
        <x:v>0</x:v>
      </x:c>
      <x:c r="AY80" s="92" t="n">
        <x:f>AY16+AY17-AY18-AY19</x:f>
        <x:v>0</x:v>
      </x:c>
      <x:c r="AZ80" s="92" t="n">
        <x:f>AZ16+AZ17-AZ18-AZ19</x:f>
        <x:v>0</x:v>
      </x:c>
      <x:c r="BA80" s="92" t="n">
        <x:f>BA16+BA17-BA18-BA19</x:f>
        <x:v>0</x:v>
      </x:c>
      <x:c r="BB80" s="92" t="n">
        <x:f>BB16+BB17-BB18-BB19</x:f>
        <x:v>0</x:v>
      </x:c>
      <x:c r="BC80" s="92" t="n">
        <x:f>BC16+BC17-BC18-BC19</x:f>
        <x:v>0</x:v>
      </x:c>
      <x:c r="BD80" s="92" t="n">
        <x:f>BD16+BD17-BD18-BD19</x:f>
        <x:v>0</x:v>
      </x:c>
      <x:c r="BE80" s="92" t="n">
        <x:f>BE16+BE17-BE18-BE19</x:f>
        <x:v>0</x:v>
      </x:c>
      <x:c r="BF80" s="92" t="n">
        <x:f>BF16+BF17-BF18-BF19</x:f>
        <x:v>0</x:v>
      </x:c>
      <x:c r="BG80" s="92" t="n">
        <x:f>BG16+BG17-BG18-BG19</x:f>
        <x:v>0</x:v>
      </x:c>
      <x:c r="BH80" s="92" t="n">
        <x:f>BH16+BH17-BH18-BH19</x:f>
        <x:v>0</x:v>
      </x:c>
      <x:c r="BI80" s="92" t="n">
        <x:f>BI16+BI17-BI18-BI19</x:f>
        <x:v>0</x:v>
      </x:c>
      <x:c r="BJ80" s="92" t="n">
        <x:f>BJ16+BJ17-BJ18-BJ19</x:f>
        <x:v>0</x:v>
      </x:c>
      <x:c r="BK80" s="92" t="n">
        <x:f>BK16+BK17-BK18-BK19</x:f>
        <x:v>0</x:v>
      </x:c>
      <x:c r="BL80" s="92" t="n">
        <x:f>BL16+BL17-BL18-BL19</x:f>
        <x:v>0</x:v>
      </x:c>
    </x:row>
    <x:row r="81" ht="23" customHeight="1">
      <x:c r="A81" s="2"/>
      <x:c r="B81" s="2"/>
      <x:c r="C81" s="4" t="str">
        <x:v>Cash bridge reconciliation</x:v>
      </x:c>
      <x:c r="D81" s="2"/>
      <x:c r="E81" s="74" t="n">
        <x:f>E61+E62-E63+E64-E65-E67</x:f>
        <x:v>-2.3283064365386963e-10</x:v>
      </x:c>
      <x:c r="F81" s="74" t="n">
        <x:f>F61+F62-F63+F64-F65-F67</x:f>
        <x:v>0</x:v>
      </x:c>
      <x:c r="G81" s="74" t="n">
        <x:f>G61+G62-G63+G64-G65-G67</x:f>
        <x:v>0</x:v>
      </x:c>
      <x:c r="H81" s="74" t="n">
        <x:f>H61+H62-H63+H64-H65-H67</x:f>
        <x:v>0</x:v>
      </x:c>
      <x:c r="I81" s="74" t="n">
        <x:f>I61+I62-I63+I64-I65-I67</x:f>
        <x:v>0</x:v>
      </x:c>
      <x:c r="J81" s="74" t="n">
        <x:f>J61+J62-J63+J64-J65-J67</x:f>
        <x:v>0</x:v>
      </x:c>
      <x:c r="K81" s="74" t="n">
        <x:f>K61+K62-K63+K64-K65-K67</x:f>
        <x:v>0</x:v>
      </x:c>
      <x:c r="L81" s="74" t="n">
        <x:f>L61+L62-L63+L64-L65-L67</x:f>
        <x:v>0</x:v>
      </x:c>
      <x:c r="M81" s="74" t="n">
        <x:f>M61+M62-M63+M64-M65-M67</x:f>
        <x:v>0</x:v>
      </x:c>
      <x:c r="N81" s="74" t="n">
        <x:f>N61+N62-N63+N64-N65-N67</x:f>
        <x:v>0</x:v>
      </x:c>
      <x:c r="O81" s="74" t="n">
        <x:f>O61+O62-O63+O64-O65-O67</x:f>
        <x:v>0</x:v>
      </x:c>
      <x:c r="P81" s="74" t="n">
        <x:f>P61+P62-P63+P64-P65-P67</x:f>
        <x:v>0</x:v>
      </x:c>
      <x:c r="Q81" s="74" t="n">
        <x:f>Q61+Q62-Q63+Q64-Q65-Q67</x:f>
        <x:v>0</x:v>
      </x:c>
      <x:c r="R81" s="92" t="n">
        <x:f>R61+R62-R63+R64-R65-R67</x:f>
        <x:v>0</x:v>
      </x:c>
      <x:c r="S81" s="92" t="n">
        <x:f>S61+S62-S63+S64-S65-S67</x:f>
        <x:v>0</x:v>
      </x:c>
      <x:c r="T81" s="92" t="n">
        <x:f>T61+T62-T63+T64-T65-T67</x:f>
        <x:v>0</x:v>
      </x:c>
      <x:c r="U81" s="92" t="n">
        <x:f>U61+U62-U63+U64-U65-U67</x:f>
        <x:v>0</x:v>
      </x:c>
      <x:c r="V81" s="92" t="n">
        <x:f>V61+V62-V63+V64-V65-V67</x:f>
        <x:v>0</x:v>
      </x:c>
      <x:c r="W81" s="92" t="n">
        <x:f>W61+W62-W63+W64-W65-W67</x:f>
        <x:v>0</x:v>
      </x:c>
      <x:c r="X81" s="92" t="n">
        <x:f>X61+X62-X63+X64-X65-X67</x:f>
        <x:v>0</x:v>
      </x:c>
      <x:c r="Y81" s="92" t="n">
        <x:f>Y61+Y62-Y63+Y64-Y65-Y67</x:f>
        <x:v>0</x:v>
      </x:c>
      <x:c r="Z81" s="92" t="n">
        <x:f>Z61+Z62-Z63+Z64-Z65-Z67</x:f>
        <x:v>0</x:v>
      </x:c>
      <x:c r="AA81" s="92" t="n">
        <x:f>AA61+AA62-AA63+AA64-AA65-AA67</x:f>
        <x:v>0</x:v>
      </x:c>
      <x:c r="AB81" s="92" t="n">
        <x:f>AB61+AB62-AB63+AB64-AB65-AB67</x:f>
        <x:v>0</x:v>
      </x:c>
      <x:c r="AC81" s="92" t="n">
        <x:f>AC61+AC62-AC63+AC64-AC65-AC67</x:f>
        <x:v>0</x:v>
      </x:c>
      <x:c r="AD81" s="92" t="n">
        <x:f>AD61+AD62-AD63+AD64-AD65-AD67</x:f>
        <x:v>0</x:v>
      </x:c>
      <x:c r="AE81" s="92" t="n">
        <x:f>AE61+AE62-AE63+AE64-AE65-AE67</x:f>
        <x:v>0</x:v>
      </x:c>
      <x:c r="AF81" s="92" t="n">
        <x:f>AF61+AF62-AF63+AF64-AF65-AF67</x:f>
        <x:v>0</x:v>
      </x:c>
      <x:c r="AG81" s="92" t="n">
        <x:f>AG61+AG62-AG63+AG64-AG65-AG67</x:f>
        <x:v>0</x:v>
      </x:c>
      <x:c r="AH81" s="92" t="n">
        <x:f>AH61+AH62-AH63+AH64-AH65-AH67</x:f>
        <x:v>0</x:v>
      </x:c>
      <x:c r="AI81" s="92" t="n">
        <x:f>AI61+AI62-AI63+AI64-AI65-AI67</x:f>
        <x:v>0</x:v>
      </x:c>
      <x:c r="AJ81" s="92" t="n">
        <x:f>AJ61+AJ62-AJ63+AJ64-AJ65-AJ67</x:f>
        <x:v>0</x:v>
      </x:c>
      <x:c r="AK81" s="92" t="n">
        <x:f>AK61+AK62-AK63+AK64-AK65-AK67</x:f>
        <x:v>0</x:v>
      </x:c>
      <x:c r="AL81" s="92" t="n">
        <x:f>AL61+AL62-AL63+AL64-AL65-AL67</x:f>
        <x:v>0</x:v>
      </x:c>
      <x:c r="AM81" s="92" t="n">
        <x:f>AM61+AM62-AM63+AM64-AM65-AM67</x:f>
        <x:v>0</x:v>
      </x:c>
      <x:c r="AN81" s="92" t="n">
        <x:f>AN61+AN62-AN63+AN64-AN65-AN67</x:f>
        <x:v>0</x:v>
      </x:c>
      <x:c r="AO81" s="92" t="n">
        <x:f>AO61+AO62-AO63+AO64-AO65-AO67</x:f>
        <x:v>0</x:v>
      </x:c>
      <x:c r="AP81" s="92" t="n">
        <x:f>AP61+AP62-AP63+AP64-AP65-AP67</x:f>
        <x:v>0</x:v>
      </x:c>
      <x:c r="AQ81" s="92" t="n">
        <x:f>AQ61+AQ62-AQ63+AQ64-AQ65-AQ67</x:f>
        <x:v>0</x:v>
      </x:c>
      <x:c r="AR81" s="92" t="n">
        <x:f>AR61+AR62-AR63+AR64-AR65-AR67</x:f>
        <x:v>0</x:v>
      </x:c>
      <x:c r="AS81" s="92" t="n">
        <x:f>AS61+AS62-AS63+AS64-AS65-AS67</x:f>
        <x:v>0</x:v>
      </x:c>
      <x:c r="AT81" s="92" t="n">
        <x:f>AT61+AT62-AT63+AT64-AT65-AT67</x:f>
        <x:v>0</x:v>
      </x:c>
      <x:c r="AU81" s="92" t="n">
        <x:f>AU61+AU62-AU63+AU64-AU65-AU67</x:f>
        <x:v>0</x:v>
      </x:c>
      <x:c r="AV81" s="92" t="n">
        <x:f>AV61+AV62-AV63+AV64-AV65-AV67</x:f>
        <x:v>0</x:v>
      </x:c>
      <x:c r="AW81" s="92" t="n">
        <x:f>AW61+AW62-AW63+AW64-AW65-AW67</x:f>
        <x:v>0</x:v>
      </x:c>
      <x:c r="AX81" s="92" t="n">
        <x:f>AX61+AX62-AX63+AX64-AX65-AX67</x:f>
        <x:v>0</x:v>
      </x:c>
      <x:c r="AY81" s="92" t="n">
        <x:f>AY61+AY62-AY63+AY64-AY65-AY67</x:f>
        <x:v>0</x:v>
      </x:c>
      <x:c r="AZ81" s="92" t="n">
        <x:f>AZ61+AZ62-AZ63+AZ64-AZ65-AZ67</x:f>
        <x:v>0</x:v>
      </x:c>
      <x:c r="BA81" s="92" t="n">
        <x:f>BA61+BA62-BA63+BA64-BA65-BA67</x:f>
        <x:v>0</x:v>
      </x:c>
      <x:c r="BB81" s="92" t="n">
        <x:f>BB61+BB62-BB63+BB64-BB65-BB67</x:f>
        <x:v>0</x:v>
      </x:c>
      <x:c r="BC81" s="92" t="n">
        <x:f>BC61+BC62-BC63+BC64-BC65-BC67</x:f>
        <x:v>0</x:v>
      </x:c>
      <x:c r="BD81" s="92" t="n">
        <x:f>BD61+BD62-BD63+BD64-BD65-BD67</x:f>
        <x:v>0</x:v>
      </x:c>
      <x:c r="BE81" s="92" t="n">
        <x:f>BE61+BE62-BE63+BE64-BE65-BE67</x:f>
        <x:v>0</x:v>
      </x:c>
      <x:c r="BF81" s="92" t="n">
        <x:f>BF61+BF62-BF63+BF64-BF65-BF67</x:f>
        <x:v>0</x:v>
      </x:c>
      <x:c r="BG81" s="92" t="n">
        <x:f>BG61+BG62-BG63+BG64-BG65-BG67</x:f>
        <x:v>0</x:v>
      </x:c>
      <x:c r="BH81" s="92" t="n">
        <x:f>BH61+BH62-BH63+BH64-BH65-BH67</x:f>
        <x:v>0</x:v>
      </x:c>
      <x:c r="BI81" s="92" t="n">
        <x:f>BI61+BI62-BI63+BI64-BI65-BI67</x:f>
        <x:v>0</x:v>
      </x:c>
      <x:c r="BJ81" s="92" t="n">
        <x:f>BJ61+BJ62-BJ63+BJ64-BJ65-BJ67</x:f>
        <x:v>0</x:v>
      </x:c>
      <x:c r="BK81" s="92" t="n">
        <x:f>BK61+BK62-BK63+BK64-BK65-BK67</x:f>
        <x:v>0</x:v>
      </x:c>
      <x:c r="BL81" s="92" t="n">
        <x:f>BL61+BL62-BL63+BL64-BL65-BL67</x:f>
        <x:v>0</x:v>
      </x:c>
    </x:row>
    <x:row r="82" ht="23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1"/>
      <x:c r="S82" s="1"/>
      <x:c r="T82" s="1"/>
      <x:c r="U82" s="1"/>
      <x:c r="V82" s="1"/>
      <x:c r="W82" s="1"/>
      <x:c r="X82" s="1"/>
      <x:c r="Y82" s="1"/>
      <x:c r="Z82" s="1"/>
      <x:c r="AA82" s="1"/>
      <x:c r="AB82" s="1"/>
      <x:c r="AC82" s="1"/>
      <x:c r="AD82" s="1"/>
      <x:c r="AE82" s="1"/>
      <x:c r="AF82" s="1"/>
      <x:c r="AG82" s="1"/>
      <x:c r="AH82" s="1"/>
      <x:c r="AI82" s="1"/>
      <x:c r="AJ82" s="1"/>
      <x:c r="AK82" s="1"/>
      <x:c r="AL82" s="1"/>
      <x:c r="AM82" s="1"/>
      <x:c r="AN82" s="1"/>
      <x:c r="AO82" s="1"/>
      <x:c r="AP82" s="1"/>
      <x:c r="AQ82" s="1"/>
      <x:c r="AR82" s="1"/>
      <x:c r="AS82" s="1"/>
      <x:c r="AT82" s="1"/>
      <x:c r="AU82" s="1"/>
      <x:c r="AV82" s="1"/>
      <x:c r="AW82" s="1"/>
      <x:c r="AX82" s="1"/>
      <x:c r="AY82" s="1"/>
      <x:c r="AZ82" s="1"/>
      <x:c r="BA82" s="1"/>
      <x:c r="BB82" s="1"/>
      <x:c r="BC82" s="1"/>
      <x:c r="BD82" s="1"/>
      <x:c r="BE82" s="1"/>
      <x:c r="BF82" s="1"/>
      <x:c r="BG82" s="1"/>
      <x:c r="BH82" s="1"/>
      <x:c r="BI82" s="1"/>
      <x:c r="BJ82" s="1"/>
      <x:c r="BK82" s="1"/>
      <x:c r="BL82" s="1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1"/>
      <x:c r="S83" s="1"/>
      <x:c r="T83" s="1"/>
      <x:c r="U83" s="1"/>
      <x:c r="V83" s="1"/>
      <x:c r="W83" s="1"/>
      <x:c r="X83" s="1"/>
      <x:c r="Y83" s="1"/>
      <x:c r="Z83" s="1"/>
      <x:c r="AA83" s="1"/>
      <x:c r="AB83" s="1"/>
      <x:c r="AC83" s="1"/>
      <x:c r="AD83" s="1"/>
      <x:c r="AE83" s="1"/>
      <x:c r="AF83" s="1"/>
      <x:c r="AG83" s="1"/>
      <x:c r="AH83" s="1"/>
      <x:c r="AI83" s="1"/>
      <x:c r="AJ83" s="1"/>
      <x:c r="AK83" s="1"/>
      <x:c r="AL83" s="1"/>
      <x:c r="AM83" s="1"/>
      <x:c r="AN83" s="1"/>
      <x:c r="AO83" s="1"/>
      <x:c r="AP83" s="1"/>
      <x:c r="AQ83" s="1"/>
      <x:c r="AR83" s="1"/>
      <x:c r="AS83" s="1"/>
      <x:c r="AT83" s="1"/>
      <x:c r="AU83" s="1"/>
      <x:c r="AV83" s="1"/>
      <x:c r="AW83" s="1"/>
      <x:c r="AX83" s="1"/>
      <x:c r="AY83" s="1"/>
      <x:c r="AZ83" s="1"/>
      <x:c r="BA83" s="1"/>
      <x:c r="BB83" s="1"/>
      <x:c r="BC83" s="1"/>
      <x:c r="BD83" s="1"/>
      <x:c r="BE83" s="1"/>
      <x:c r="BF83" s="1"/>
      <x:c r="BG83" s="1"/>
      <x:c r="BH83" s="1"/>
      <x:c r="BI83" s="1"/>
      <x:c r="BJ83" s="1"/>
      <x:c r="BK83" s="1"/>
      <x:c r="BL83" s="1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3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3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3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3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3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3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3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3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3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3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3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3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3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3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3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3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3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3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3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3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3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</x:sheetData>
  <x:conditionalFormatting sqref="E67:BL68">
    <x:cfRule type="cellIs" dxfId="17" priority="1" operator="lessThan">
      <x:formula>0</x:formula>
    </x:cfRule>
  </x:conditionalFormatting>
  <x:conditionalFormatting sqref="E79:BL81">
    <x:cfRule type="expression" dxfId="18" priority="2">
      <x:formula>ABS(E79)&gt;0.01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18" hidden="0" customWidth="1"/>
    <x:col min="5" max="5" width="18" hidden="0" customWidth="1"/>
    <x:col min="6" max="6" width="18" hidden="0" customWidth="1"/>
    <x:col min="7" max="7" width="23" hidden="0" customWidth="1"/>
    <x:col min="8" max="8" width="22" hidden="0" customWidth="1"/>
    <x:col min="9" max="9" width="22" hidden="0" customWidth="1"/>
    <x:col min="10" max="10" width="3" hidden="0" customWidth="1"/>
    <x:col min="11" max="11" width="64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3" customHeight="1">
      <x:c r="A2" s="2"/>
      <x:c r="B2" s="2"/>
      <x:c r="C2" s="12" t="str">
        <x:v>2UP funding and dilution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3" customHeight="1">
      <x:c r="A3" s="2"/>
      <x:c r="B3" s="2"/>
      <x:c r="C3" s="4" t="str">
        <x:v>Amounts and dates are hypothetical. Enable a round only when its milestones are met.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23" customHeight="1">
      <x:c r="A4" s="2"/>
      <x:c r="B4" s="2"/>
      <x:c r="C4" s="4" t="str">
        <x:v>Case selected:</x:v>
      </x:c>
      <x:c r="D4" s="8" t="str">
        <x:f>CHOOSE('Assumptions'!$D$4,"Base","Downside")</x:f>
        <x:v>Base</x:v>
      </x:c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7" customHeight="1">
      <x:c r="A7" s="2"/>
      <x:c r="B7" s="2"/>
      <x:c r="C7" s="50" t="str">
        <x:v>Cash schedule</x:v>
      </x:c>
      <x:c r="D7" s="50" t="str">
        <x:v>Raise USD</x:v>
      </x:c>
      <x:c r="E7" s="50" t="str">
        <x:v>Month</x:v>
      </x:c>
      <x:c r="F7" s="50" t="str">
        <x:v>Enabled 0/1</x:v>
      </x:c>
      <x:c r="G7" s="50" t="str">
        <x:v>Gross cash INR</x:v>
      </x:c>
      <x:c r="H7"/>
      <x:c r="I7" s="2"/>
      <x:c r="J7" s="2"/>
      <x:c r="K7" s="4" t="str">
        <x:v>Purpose</x:v>
      </x:c>
      <x:c r="L7" s="2"/>
      <x:c r="M7" s="2"/>
      <x:c r="N7" s="2"/>
      <x:c r="O7" s="2"/>
      <x:c r="P7" s="2"/>
      <x:c r="Q7" s="2"/>
    </x:row>
    <x:row r="8" ht="23" customHeight="1">
      <x:c r="A8" s="2"/>
      <x:c r="B8" s="2"/>
      <x:c r="C8" s="4" t="str">
        <x:v>Pre-seed</x:v>
      </x:c>
      <x:c r="D8" s="127" t="n">
        <x:v>250000</x:v>
      </x:c>
      <x:c r="E8" s="43" t="n">
        <x:v>4</x:v>
      </x:c>
      <x:c r="F8" s="43" t="n">
        <x:v>1</x:v>
      </x:c>
      <x:c r="G8" s="69" t="n">
        <x:f>D8*F8*'Assumptions'!$D$7</x:f>
        <x:v>22500000</x:v>
      </x:c>
      <x:c r="H8" s="2"/>
      <x:c r="I8" s="2"/>
      <x:c r="J8" s="2"/>
      <x:c r="K8" s="4" t="str">
        <x:v>Paid pilots and launch</x:v>
      </x:c>
      <x:c r="L8" s="2"/>
      <x:c r="M8" s="2"/>
      <x:c r="N8" s="2"/>
      <x:c r="O8" s="2"/>
      <x:c r="P8" s="2"/>
      <x:c r="Q8" s="2"/>
    </x:row>
    <x:row r="9" ht="23" customHeight="1">
      <x:c r="A9" s="2"/>
      <x:c r="B9" s="2"/>
      <x:c r="C9" s="4" t="str">
        <x:v>Seed</x:v>
      </x:c>
      <x:c r="D9" s="127" t="n">
        <x:v>750000</x:v>
      </x:c>
      <x:c r="E9" s="43" t="n">
        <x:v>20</x:v>
      </x:c>
      <x:c r="F9" s="43" t="n">
        <x:v>1</x:v>
      </x:c>
      <x:c r="G9" s="69" t="n">
        <x:f>D9*F9*'Assumptions'!$D$7</x:f>
        <x:v>67500000</x:v>
      </x:c>
      <x:c r="H9" s="2"/>
      <x:c r="I9" s="2"/>
      <x:c r="J9" s="2"/>
      <x:c r="K9" s="4" t="str">
        <x:v>Repeatable sales</x:v>
      </x:c>
      <x:c r="L9" s="2"/>
      <x:c r="M9" s="2"/>
      <x:c r="N9" s="2"/>
      <x:c r="O9" s="2"/>
      <x:c r="P9" s="2"/>
      <x:c r="Q9" s="2"/>
    </x:row>
    <x:row r="10" ht="23" customHeight="1">
      <x:c r="A10" s="2"/>
      <x:c r="B10" s="2"/>
      <x:c r="C10" s="4" t="str">
        <x:v>Series A</x:v>
      </x:c>
      <x:c r="D10" s="127" t="n">
        <x:v>3000000</x:v>
      </x:c>
      <x:c r="E10" s="43" t="n">
        <x:v>40</x:v>
      </x:c>
      <x:c r="F10" s="43" t="n">
        <x:v>0</x:v>
      </x:c>
      <x:c r="G10" s="69" t="n">
        <x:f>D10*F10*'Assumptions'!$D$7</x:f>
        <x:v>0</x:v>
      </x:c>
      <x:c r="H10" s="2"/>
      <x:c r="I10" s="2"/>
      <x:c r="J10" s="2"/>
      <x:c r="K10" s="4" t="str">
        <x:v>Optional acceleration</x:v>
      </x:c>
      <x:c r="L10" s="2"/>
      <x:c r="M10" s="2"/>
      <x:c r="N10" s="2"/>
      <x:c r="O10" s="2"/>
      <x:c r="P10" s="2"/>
      <x:c r="Q10" s="2"/>
    </x:row>
    <x:row r="11" ht="23" customHeight="1">
      <x:c r="A11" s="2"/>
      <x:c r="B11" s="2"/>
      <x:c r="C11" s="4" t="str">
        <x:v>Series B</x:v>
      </x:c>
      <x:c r="D11" s="127" t="n">
        <x:v>8000000</x:v>
      </x:c>
      <x:c r="E11" s="43" t="n">
        <x:v>61</x:v>
      </x:c>
      <x:c r="F11" s="43" t="n">
        <x:v>0</x:v>
      </x:c>
      <x:c r="G11" s="69" t="n">
        <x:f>D11*F11*'Assumptions'!$D$7</x:f>
        <x:v>0</x:v>
      </x:c>
      <x:c r="H11" s="2"/>
      <x:c r="I11" s="2"/>
      <x:c r="J11" s="2"/>
      <x:c r="K11" s="4" t="str">
        <x:v>Optional market scale</x:v>
      </x:c>
      <x:c r="L11" s="2"/>
      <x:c r="M11" s="2"/>
      <x:c r="N11" s="2"/>
      <x:c r="O11" s="2"/>
      <x:c r="P11" s="2"/>
      <x:c r="Q11" s="2"/>
    </x:row>
    <x:row r="12" ht="23" customHeight="1">
      <x:c r="A12" s="2"/>
      <x:c r="B12" s="2"/>
      <x:c r="C12" s="4" t="str">
        <x:v>Series C</x:v>
      </x:c>
      <x:c r="D12" s="127" t="n">
        <x:v>20000000</x:v>
      </x:c>
      <x:c r="E12" s="43" t="n">
        <x:v>85</x:v>
      </x:c>
      <x:c r="F12" s="43" t="n">
        <x:v>0</x:v>
      </x:c>
      <x:c r="G12" s="69" t="n">
        <x:f>D12*F12*'Assumptions'!$D$7</x:f>
        <x:v>0</x:v>
      </x:c>
      <x:c r="H12" s="2"/>
      <x:c r="I12" s="2"/>
      <x:c r="J12" s="2"/>
      <x:c r="K12" s="4" t="str">
        <x:v>Optional growth capital</x:v>
      </x:c>
      <x:c r="L12" s="2"/>
      <x:c r="M12" s="2"/>
      <x:c r="N12" s="2"/>
      <x:c r="O12" s="2"/>
      <x:c r="P12" s="2"/>
      <x:c r="Q12" s="2"/>
    </x:row>
    <x:row r="13" ht="23" customHeight="1">
      <x:c r="A13" s="2"/>
      <x:c r="B13" s="2"/>
      <x:c r="C13" s="4" t="str">
        <x:v>Only rounds in Months 1-60 feed the cash forecast.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3" customHeight="1">
      <x:c r="A14" s="2"/>
      <x:c r="B14" s="2"/>
      <x:c r="C14" s="20" t="str">
        <x:v>Raise size from the operating plan</x:v>
      </x:c>
      <x:c r="D14" s="21"/>
      <x:c r="E14" s="21"/>
      <x:c r="F14" s="21"/>
      <x:c r="G14" s="21"/>
      <x:c r="H14" s="21"/>
      <x:c r="I14" s="21"/>
      <x:c r="J14" s="2"/>
      <x:c r="K14" s="2"/>
      <x:c r="L14" s="2"/>
      <x:c r="M14" s="2"/>
      <x:c r="N14" s="2"/>
      <x:c r="O14" s="2"/>
      <x:c r="P14" s="2"/>
      <x:c r="Q14" s="2"/>
    </x:row>
    <x:row r="15" ht="23" customHeight="1">
      <x:c r="A15" s="2"/>
      <x:c r="B15" s="2"/>
      <x:c r="C15" s="4" t="str">
        <x:v>Decision month</x:v>
      </x:c>
      <x:c r="D15" s="43" t="n">
        <x:v>1</x:v>
      </x:c>
      <x:c r="E15" s="2"/>
      <x:c r="F15" s="2"/>
      <x:c r="G15" s="2"/>
      <x:c r="H15" s="2"/>
      <x:c r="I15" s="2"/>
      <x:c r="J15" s="2"/>
      <x:c r="K15" s="4" t="str">
        <x:v>Sizing excludes future financing and uses the lowest cash balance.</x:v>
      </x:c>
      <x:c r="L15" s="2"/>
      <x:c r="M15" s="2"/>
      <x:c r="N15" s="2"/>
      <x:c r="O15" s="2"/>
      <x:c r="P15" s="2"/>
      <x:c r="Q15" s="2"/>
    </x:row>
    <x:row r="16" ht="23" customHeight="1">
      <x:c r="A16" s="2"/>
      <x:c r="B16" s="2"/>
      <x:c r="C16" s="4" t="str">
        <x:v>Months to fund</x:v>
      </x:c>
      <x:c r="D16" s="43" t="n">
        <x:v>18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3" customHeight="1">
      <x:c r="A17" s="2"/>
      <x:c r="B17" s="2"/>
      <x:c r="C17" s="4" t="str">
        <x:v>Months of operating-cost reserve</x:v>
      </x:c>
      <x:c r="D17" s="43" t="n">
        <x:v>3</x:v>
      </x:c>
      <x:c r="E17" s="2"/>
      <x:c r="F17" s="2"/>
      <x:c r="G17" s="2"/>
      <x:c r="H17" s="2"/>
      <x:c r="I17" s="2"/>
      <x:c r="J17" s="2"/>
      <x:c r="K17" s="4" t="str">
        <x:v>Reserve uses gross delivery and operating costs at the last funded month.</x:v>
      </x:c>
      <x:c r="L17" s="2"/>
      <x:c r="M17" s="2"/>
      <x:c r="N17" s="2"/>
      <x:c r="O17" s="2"/>
      <x:c r="P17" s="2"/>
      <x:c r="Q17" s="2"/>
    </x:row>
    <x:row r="18" ht="23" customHeight="1">
      <x:c r="A18" s="2"/>
      <x:c r="B18" s="2"/>
      <x:c r="C18" s="4" t="str">
        <x:v>Contingency</x:v>
      </x:c>
      <x:c r="D18" s="40" t="n">
        <x:v>0.2</x:v>
      </x:c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3" customHeight="1">
      <x:c r="A19" s="2"/>
      <x:c r="B19" s="2"/>
      <x:c r="C19" s="4" t="str">
        <x:v>Last funded month</x:v>
      </x:c>
      <x:c r="D19" s="128" t="n">
        <x:f>MIN(60,D15+D16-1)</x:f>
        <x:v>18</x:v>
      </x:c>
      <x:c r="E19" s="2"/>
      <x:c r="F19" s="2"/>
      <x:c r="G19" s="2"/>
      <x:c r="H19" s="2"/>
      <x:c r="I19" s="2"/>
      <x:c r="J19" s="2"/>
      <x:c r="K19" s="134" t="str">
        <x:f>IF(D15+D16-1&gt;60,"Window ends at Month 60; extend the model for the full funding window.","")</x:f>
      </x:c>
      <x:c r="L19" s="2"/>
      <x:c r="M19" s="2"/>
      <x:c r="N19" s="2"/>
      <x:c r="O19" s="2"/>
      <x:c r="P19" s="2"/>
      <x:c r="Q19" s="2"/>
    </x:row>
    <x:row r="20" ht="23" customHeight="1">
      <x:c r="A20" s="2"/>
      <x:c r="B20" s="2"/>
      <x:c r="C20" s="4" t="str">
        <x:v>Cash entering decision month (INR)</x:v>
      </x:c>
      <x:c r="D20" s="69" t="n">
        <x:f>INDEX('Forecast'!$E$61:$BL$61,1,D15)</x:f>
        <x:v>3000000</x:v>
      </x:c>
      <x:c r="E20" s="2"/>
      <x:c r="F20" s="2"/>
      <x:c r="G20" s="2"/>
      <x:c r="H20" s="2"/>
      <x:c r="I20" s="2"/>
      <x:c r="J20" s="2"/>
      <x:c r="K20" s="4" t="str">
        <x:v>Past scheduled raises are assumed to have closed. Replace with actual cash.</x:v>
      </x:c>
      <x:c r="L20" s="2"/>
      <x:c r="M20" s="2"/>
      <x:c r="N20" s="2"/>
      <x:c r="O20" s="2"/>
      <x:c r="P20" s="2"/>
      <x:c r="Q20" s="2"/>
    </x:row>
    <x:row r="21" ht="23" customHeight="1">
      <x:c r="A21" s="2"/>
      <x:c r="B21" s="2"/>
      <x:c r="C21" s="4" t="str">
        <x:v>Minimum cash with future raises removed</x:v>
      </x:c>
      <x:c r="D21" s="67" t="n">
        <x:f>MIN(D61:D120)</x:f>
        <x:v>-8684009.555848723</x:v>
      </x:c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3" customHeight="1">
      <x:c r="A22" s="2"/>
      <x:c r="B22" s="2"/>
      <x:c r="C22" s="4" t="str">
        <x:v>Operating-cost cash reserve (INR)</x:v>
      </x:c>
      <x:c r="D22" s="69" t="n">
        <x:f>D17*(INDEX('Forecast'!$E$41:$BL$41,1,D19)+INDEX('Forecast'!$E$44:$BL$44,1,D19)+INDEX('Forecast'!$E$57:$BL$57,1,D19))</x:f>
        <x:v>6399734.7648307895</x:v>
      </x:c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3" customHeight="1">
      <x:c r="A23" s="2"/>
      <x:c r="B23" s="2"/>
      <x:c r="C23" s="4" t="str">
        <x:v>Peak cash deficit (INR)</x:v>
      </x:c>
      <x:c r="D23" s="67" t="n">
        <x:f>MAX(0,-D21)</x:f>
        <x:v>8684009.555848723</x:v>
      </x:c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3" customHeight="1">
      <x:c r="A24" s="2"/>
      <x:c r="B24" s="2"/>
      <x:c r="C24" s="4" t="str">
        <x:v>Cash needed with reserve (INR)</x:v>
      </x:c>
      <x:c r="D24" s="67" t="n">
        <x:f>MAX(0,D22-D21)</x:f>
        <x:v>15083744.320679512</x:v>
      </x:c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3" customHeight="1">
      <x:c r="A25" s="2"/>
      <x:c r="B25" s="2"/>
      <x:c r="C25" s="4" t="str">
        <x:v>Contingency allowance (INR)</x:v>
      </x:c>
      <x:c r="D25" s="67" t="n">
        <x:f>D24*D18</x:f>
        <x:v>3016748.8641359024</x:v>
      </x:c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3" customHeight="1">
      <x:c r="A26" s="2"/>
      <x:c r="B26" s="2"/>
      <x:c r="C26" s="106" t="str">
        <x:v>Gross raise needed incl. fees (INR)</x:v>
      </x:c>
      <x:c r="D26" s="116" t="n">
        <x:f>(D24+D25)/(1-'Assumptions'!$D$30)</x:f>
        <x:v>18660302.252387024</x:v>
      </x:c>
      <x:c r="E26" s="2"/>
      <x:c r="F26" s="2"/>
      <x:c r="G26" s="2"/>
      <x:c r="H26" s="2"/>
      <x:c r="I26" s="2"/>
      <x:c r="J26" s="2"/>
      <x:c r="K26" s="4" t="str">
        <x:v>Recalculate after changing the forecast; this is a cash budget, not an offer.</x:v>
      </x:c>
      <x:c r="L26" s="2"/>
      <x:c r="M26" s="2"/>
      <x:c r="N26" s="2"/>
      <x:c r="O26" s="2"/>
      <x:c r="P26" s="2"/>
      <x:c r="Q26" s="2"/>
    </x:row>
    <x:row r="27" ht="23" customHeight="1">
      <x:c r="A27" s="2"/>
      <x:c r="B27" s="2"/>
      <x:c r="C27" s="58" t="str">
        <x:v>Gross raise needed (USD)</x:v>
      </x:c>
      <x:c r="D27" s="131" t="n">
        <x:f>D26/'Assumptions'!$D$7</x:f>
        <x:v>207336.69169318915</x:v>
      </x:c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3" customHeight="1">
      <x:c r="A28" s="2"/>
      <x:c r="B28" s="2"/>
      <x:c r="C28" s="58" t="str">
        <x:v>Gross raise needed (AED)</x:v>
      </x:c>
      <x:c r="D28" s="132" t="n">
        <x:f>D27*'Assumptions'!$D$8</x:f>
        <x:v>761444.0002432371</x:v>
      </x:c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3" customHeight="1">
      <x:c r="A31" s="2"/>
      <x:c r="B31" s="2"/>
      <x:c r="C31" s="20" t="str">
        <x:v>Priced-round negotiation examples</x:v>
      </x:c>
      <x:c r="D31" s="21"/>
      <x:c r="E31" s="21"/>
      <x:c r="F31" s="21"/>
      <x:c r="G31" s="21"/>
      <x:c r="H31" s="21"/>
      <x:c r="I31" s="21"/>
      <x:c r="J31" s="2"/>
      <x:c r="K31" s="2"/>
      <x:c r="L31" s="2"/>
      <x:c r="M31" s="2"/>
      <x:c r="N31" s="2"/>
      <x:c r="O31" s="2"/>
      <x:c r="P31" s="2"/>
      <x:c r="Q31" s="2"/>
    </x:row>
    <x:row r="32" ht="23" customHeight="1">
      <x:c r="A32" s="2"/>
      <x:c r="B32" s="2"/>
      <x:c r="C32" s="4" t="str">
        <x:v>All five rounds below assumed; independent of the enabled cash schedule.</x:v>
      </x:c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7" customHeight="1">
      <x:c r="A34" s="2"/>
      <x:c r="B34" s="2"/>
      <x:c r="C34" s="50" t="str">
        <x:v>Round</x:v>
      </x:c>
      <x:c r="D34" s="50" t="str">
        <x:v>Pre-money USD</x:v>
      </x:c>
      <x:c r="E34" s="50" t="str">
        <x:v>New capital USD</x:v>
      </x:c>
      <x:c r="F34" s="50" t="str">
        <x:v>Post-money USD</x:v>
      </x:c>
      <x:c r="G34" s="50" t="str">
        <x:v>Investor share</x:v>
      </x:c>
      <x:c r="H34" s="50" t="str">
        <x:v>Pool after round</x:v>
      </x:c>
      <x:c r="I34" s="50" t="str">
        <x:v>Pool top-up</x:v>
      </x:c>
      <x:c r="J34" s="2"/>
      <x:c r="K34" s="2"/>
      <x:c r="L34" s="2"/>
      <x:c r="M34" s="2"/>
      <x:c r="N34" s="2"/>
      <x:c r="O34" s="2"/>
      <x:c r="P34" s="2"/>
      <x:c r="Q34" s="2"/>
    </x:row>
    <x:row r="35" ht="23" customHeight="1">
      <x:c r="A35" s="2"/>
      <x:c r="B35" s="2"/>
      <x:c r="C35" s="4" t="str">
        <x:v>Pre-seed</x:v>
      </x:c>
      <x:c r="D35" s="127" t="n">
        <x:v>1416666.6666666667</x:v>
      </x:c>
      <x:c r="E35" s="127" t="n">
        <x:v>250000</x:v>
      </x:c>
      <x:c r="F35" s="135" t="n">
        <x:f>SUM(D35:E35)</x:f>
        <x:v>1666666.6666666667</x:v>
      </x:c>
      <x:c r="G35" s="72" t="n">
        <x:f>E35/F35</x:f>
        <x:v>0.15</x:v>
      </x:c>
      <x:c r="H35" s="40" t="n">
        <x:v>0.1</x:v>
      </x:c>
      <x:c r="I35" s="72" t="n">
        <x:f>MAX(0,(H35/(1-G35)-$D$44)/(1-$D$44))</x:f>
        <x:v>0.01960784313725494</x:v>
      </x:c>
      <x:c r="J35" s="2"/>
      <x:c r="K35" s="2"/>
      <x:c r="L35" s="2"/>
      <x:c r="M35" s="2"/>
      <x:c r="N35" s="2"/>
      <x:c r="O35" s="2"/>
      <x:c r="P35" s="2"/>
      <x:c r="Q35" s="2"/>
    </x:row>
    <x:row r="36" ht="23" customHeight="1">
      <x:c r="A36" s="2"/>
      <x:c r="B36" s="2"/>
      <x:c r="C36" s="4" t="str">
        <x:v>Seed</x:v>
      </x:c>
      <x:c r="D36" s="127" t="n">
        <x:v>3000000</x:v>
      </x:c>
      <x:c r="E36" s="127" t="n">
        <x:v>750000</x:v>
      </x:c>
      <x:c r="F36" s="135" t="n">
        <x:f>SUM(D36:E36)</x:f>
        <x:v>3750000</x:v>
      </x:c>
      <x:c r="G36" s="72" t="n">
        <x:f>E36/F36</x:f>
        <x:v>0.2</x:v>
      </x:c>
      <x:c r="H36" s="40" t="n">
        <x:v>0.1</x:v>
      </x:c>
      <x:c r="I36" s="72" t="n">
        <x:f>MAX(0,(H36/(1-G36)-E44)/(1-E44))</x:f>
        <x:v>0.02777777777777777</x:v>
      </x:c>
      <x:c r="J36" s="2"/>
      <x:c r="K36" s="2"/>
      <x:c r="L36" s="2"/>
      <x:c r="M36" s="2"/>
      <x:c r="N36" s="2"/>
      <x:c r="O36" s="2"/>
      <x:c r="P36" s="2"/>
      <x:c r="Q36" s="2"/>
    </x:row>
    <x:row r="37" ht="23" customHeight="1">
      <x:c r="A37" s="2"/>
      <x:c r="B37" s="2"/>
      <x:c r="C37" s="4" t="str">
        <x:v>Series A</x:v>
      </x:c>
      <x:c r="D37" s="127" t="n">
        <x:v>12000000</x:v>
      </x:c>
      <x:c r="E37" s="127" t="n">
        <x:v>3000000</x:v>
      </x:c>
      <x:c r="F37" s="135" t="n">
        <x:f>SUM(D37:E37)</x:f>
        <x:v>15000000</x:v>
      </x:c>
      <x:c r="G37" s="72" t="n">
        <x:f>E37/F37</x:f>
        <x:v>0.2</x:v>
      </x:c>
      <x:c r="H37" s="40" t="n">
        <x:v>0.1</x:v>
      </x:c>
      <x:c r="I37" s="72" t="n">
        <x:f>MAX(0,(H37/(1-G37)-F44)/(1-F44))</x:f>
        <x:v>0.02777777777777777</x:v>
      </x:c>
      <x:c r="J37" s="2"/>
      <x:c r="K37" s="2"/>
      <x:c r="L37" s="2"/>
      <x:c r="M37" s="2"/>
      <x:c r="N37" s="2"/>
      <x:c r="O37" s="2"/>
      <x:c r="P37" s="2"/>
      <x:c r="Q37" s="2"/>
    </x:row>
    <x:row r="38" ht="23" customHeight="1">
      <x:c r="A38" s="2"/>
      <x:c r="B38" s="2"/>
      <x:c r="C38" s="4" t="str">
        <x:v>Series B</x:v>
      </x:c>
      <x:c r="D38" s="127" t="n">
        <x:v>32000000</x:v>
      </x:c>
      <x:c r="E38" s="127" t="n">
        <x:v>8000000</x:v>
      </x:c>
      <x:c r="F38" s="135" t="n">
        <x:f>SUM(D38:E38)</x:f>
        <x:v>40000000</x:v>
      </x:c>
      <x:c r="G38" s="72" t="n">
        <x:f>E38/F38</x:f>
        <x:v>0.2</x:v>
      </x:c>
      <x:c r="H38" s="40" t="n">
        <x:v>0.1</x:v>
      </x:c>
      <x:c r="I38" s="72" t="n">
        <x:f>MAX(0,(H38/(1-G38)-G44)/(1-G44))</x:f>
        <x:v>0.02777777777777777</x:v>
      </x:c>
      <x:c r="J38" s="2"/>
      <x:c r="K38" s="2"/>
      <x:c r="L38" s="2"/>
      <x:c r="M38" s="2"/>
      <x:c r="N38" s="2"/>
      <x:c r="O38" s="2"/>
      <x:c r="P38" s="2"/>
      <x:c r="Q38" s="2"/>
    </x:row>
    <x:row r="39" ht="23" customHeight="1">
      <x:c r="A39" s="2"/>
      <x:c r="B39" s="2"/>
      <x:c r="C39" s="4" t="str">
        <x:v>Series C</x:v>
      </x:c>
      <x:c r="D39" s="127" t="n">
        <x:v>80000000</x:v>
      </x:c>
      <x:c r="E39" s="127" t="n">
        <x:v>20000000</x:v>
      </x:c>
      <x:c r="F39" s="135" t="n">
        <x:f>SUM(D39:E39)</x:f>
        <x:v>100000000</x:v>
      </x:c>
      <x:c r="G39" s="72" t="n">
        <x:f>E39/F39</x:f>
        <x:v>0.2</x:v>
      </x:c>
      <x:c r="H39" s="40" t="n">
        <x:v>0.1</x:v>
      </x:c>
      <x:c r="I39" s="72" t="n">
        <x:f>MAX(0,(H39/(1-G39)-H44)/(1-H44))</x:f>
        <x:v>0.02777777777777777</x:v>
      </x:c>
      <x:c r="J39" s="2"/>
      <x:c r="K39" s="2"/>
      <x:c r="L39" s="2"/>
      <x:c r="M39" s="2"/>
      <x:c r="N39" s="2"/>
      <x:c r="O39" s="2"/>
      <x:c r="P39" s="2"/>
      <x:c r="Q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3" customHeight="1">
      <x:c r="A41" s="2"/>
      <x:c r="B41" s="2"/>
      <x:c r="C41" s="4" t="str">
        <x:v>Pool top-ups are created before new capital; existing holders bear that dilution.</x:v>
      </x:c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7" customHeight="1">
      <x:c r="A42" s="2"/>
      <x:c r="B42" s="2"/>
      <x:c r="C42" s="50" t="str">
        <x:v>Combined ownership</x:v>
      </x:c>
      <x:c r="D42" s="50" t="str">
        <x:v>Initial</x:v>
      </x:c>
      <x:c r="E42" s="50" t="str">
        <x:v>Pre-seed</x:v>
      </x:c>
      <x:c r="F42" s="50" t="str">
        <x:v>Seed</x:v>
      </x:c>
      <x:c r="G42" s="50" t="str">
        <x:v>Series A</x:v>
      </x:c>
      <x:c r="H42" s="50" t="str">
        <x:v>Series B</x:v>
      </x:c>
      <x:c r="I42" s="50" t="str">
        <x:v>Series C</x:v>
      </x:c>
      <x:c r="J42" s="2"/>
      <x:c r="K42" s="2"/>
      <x:c r="L42" s="2"/>
      <x:c r="M42" s="2"/>
      <x:c r="N42" s="2"/>
      <x:c r="O42" s="2"/>
      <x:c r="P42" s="2"/>
      <x:c r="Q42" s="2"/>
    </x:row>
    <x:row r="43" ht="23" customHeight="1">
      <x:c r="A43" s="2"/>
      <x:c r="B43" s="2"/>
      <x:c r="C43" s="106" t="str">
        <x:v>Founders combined</x:v>
      </x:c>
      <x:c r="D43" s="138" t="n">
        <x:v>0.9</x:v>
      </x:c>
      <x:c r="E43" s="139" t="n">
        <x:f>D43*(1-$I$35)*(1-$G$35)</x:f>
        <x:v>0.75</x:v>
      </x:c>
      <x:c r="F43" s="139" t="n">
        <x:f>E43*(1-$I$36)*(1-$G$36)</x:f>
        <x:v>0.5833333333333334</x:v>
      </x:c>
      <x:c r="G43" s="139" t="n">
        <x:f>F43*(1-$I$37)*(1-$G$37)</x:f>
        <x:v>0.4537037037037037</x:v>
      </x:c>
      <x:c r="H43" s="139" t="n">
        <x:f>G43*(1-$I$38)*(1-$G$38)</x:f>
        <x:v>0.352880658436214</x:v>
      </x:c>
      <x:c r="I43" s="139" t="n">
        <x:f>H43*(1-$I$39)*(1-$G$39)</x:f>
        <x:v>0.2744627343392776</x:v>
      </x:c>
      <x:c r="J43" s="2"/>
      <x:c r="K43" s="2"/>
      <x:c r="L43" s="2"/>
      <x:c r="M43" s="2"/>
      <x:c r="N43" s="2"/>
      <x:c r="O43" s="2"/>
      <x:c r="P43" s="2"/>
      <x:c r="Q43" s="2"/>
    </x:row>
    <x:row r="44" ht="23" customHeight="1">
      <x:c r="A44" s="2"/>
      <x:c r="B44" s="2"/>
      <x:c r="C44" s="4" t="str">
        <x:v>Employee option pool</x:v>
      </x:c>
      <x:c r="D44" s="72" t="n">
        <x:f>1-D43</x:f>
        <x:v>0.09999999999999998</x:v>
      </x:c>
      <x:c r="E44" s="72" t="n">
        <x:f>(D44*(1-$I$35)+$I$35)*(1-$G$35)</x:f>
        <x:v>0.1</x:v>
      </x:c>
      <x:c r="F44" s="72" t="n">
        <x:f>(E44*(1-$I$36)+$I$36)*(1-$G$36)</x:f>
        <x:v>0.1</x:v>
      </x:c>
      <x:c r="G44" s="72" t="n">
        <x:f>(F44*(1-$I$37)+$I$37)*(1-$G$37)</x:f>
        <x:v>0.1</x:v>
      </x:c>
      <x:c r="H44" s="72" t="n">
        <x:f>(G44*(1-$I$38)+$I$38)*(1-$G$38)</x:f>
        <x:v>0.1</x:v>
      </x:c>
      <x:c r="I44" s="72" t="n">
        <x:f>(H44*(1-$I$39)+$I$39)*(1-$G$39)</x:f>
        <x:v>0.1</x:v>
      </x:c>
      <x:c r="J44" s="2"/>
      <x:c r="K44" s="2"/>
      <x:c r="L44" s="2"/>
      <x:c r="M44" s="2"/>
      <x:c r="N44" s="2"/>
      <x:c r="O44" s="2"/>
      <x:c r="P44" s="2"/>
      <x:c r="Q44" s="2"/>
    </x:row>
    <x:row r="45" ht="23" customHeight="1">
      <x:c r="A45" s="2"/>
      <x:c r="B45" s="2"/>
      <x:c r="C45" s="4" t="str">
        <x:v>Pre-seed investors</x:v>
      </x:c>
      <x:c r="D45" s="38" t="n">
        <x:v>0</x:v>
      </x:c>
      <x:c r="E45" s="72" t="n">
        <x:f>$G$35</x:f>
        <x:v>0.15</x:v>
      </x:c>
      <x:c r="F45" s="72" t="n">
        <x:f>E45*(1-$I$36)*(1-$G$36)</x:f>
        <x:v>0.11666666666666665</x:v>
      </x:c>
      <x:c r="G45" s="72" t="n">
        <x:f>F45*(1-$I$37)*(1-$G$37)</x:f>
        <x:v>0.09074074074074073</x:v>
      </x:c>
      <x:c r="H45" s="72" t="n">
        <x:f>G45*(1-$I$38)*(1-$G$38)</x:f>
        <x:v>0.07057613168724279</x:v>
      </x:c>
      <x:c r="I45" s="72" t="n">
        <x:f>H45*(1-$I$39)*(1-$G$39)</x:f>
        <x:v>0.05489254686785551</x:v>
      </x:c>
      <x:c r="J45" s="2"/>
      <x:c r="K45" s="2"/>
      <x:c r="L45" s="2"/>
      <x:c r="M45" s="2"/>
      <x:c r="N45" s="2"/>
      <x:c r="O45" s="2"/>
      <x:c r="P45" s="2"/>
      <x:c r="Q45" s="2"/>
    </x:row>
    <x:row r="46" ht="23" customHeight="1">
      <x:c r="A46" s="2"/>
      <x:c r="B46" s="2"/>
      <x:c r="C46" s="4" t="str">
        <x:v>Seed investors</x:v>
      </x:c>
      <x:c r="D46" s="38" t="n">
        <x:v>0</x:v>
      </x:c>
      <x:c r="E46" s="72" t="n">
        <x:f>0</x:f>
        <x:v>0</x:v>
      </x:c>
      <x:c r="F46" s="72" t="n">
        <x:f>$G$36</x:f>
        <x:v>0.2</x:v>
      </x:c>
      <x:c r="G46" s="72" t="n">
        <x:f>F46*(1-$I$37)*(1-$G$37)</x:f>
        <x:v>0.15555555555555556</x:v>
      </x:c>
      <x:c r="H46" s="72" t="n">
        <x:f>G46*(1-$I$38)*(1-$G$38)</x:f>
        <x:v>0.12098765432098767</x:v>
      </x:c>
      <x:c r="I46" s="72" t="n">
        <x:f>H46*(1-$I$39)*(1-$G$39)</x:f>
        <x:v>0.09410150891632374</x:v>
      </x:c>
      <x:c r="J46" s="2"/>
      <x:c r="K46" s="2"/>
      <x:c r="L46" s="2"/>
      <x:c r="M46" s="2"/>
      <x:c r="N46" s="2"/>
      <x:c r="O46" s="2"/>
      <x:c r="P46" s="2"/>
      <x:c r="Q46" s="2"/>
    </x:row>
    <x:row r="47" ht="23" customHeight="1">
      <x:c r="A47" s="2"/>
      <x:c r="B47" s="2"/>
      <x:c r="C47" s="4" t="str">
        <x:v>Series A investors</x:v>
      </x:c>
      <x:c r="D47" s="38" t="n">
        <x:v>0</x:v>
      </x:c>
      <x:c r="E47" s="72" t="n">
        <x:f>0</x:f>
        <x:v>0</x:v>
      </x:c>
      <x:c r="F47" s="72" t="n">
        <x:f>0</x:f>
        <x:v>0</x:v>
      </x:c>
      <x:c r="G47" s="72" t="n">
        <x:f>$G$37</x:f>
        <x:v>0.2</x:v>
      </x:c>
      <x:c r="H47" s="72" t="n">
        <x:f>G47*(1-$I$38)*(1-$G$38)</x:f>
        <x:v>0.15555555555555556</x:v>
      </x:c>
      <x:c r="I47" s="72" t="n">
        <x:f>H47*(1-$I$39)*(1-$G$39)</x:f>
        <x:v>0.12098765432098767</x:v>
      </x:c>
      <x:c r="J47" s="2"/>
      <x:c r="K47" s="2"/>
      <x:c r="L47" s="2"/>
      <x:c r="M47" s="2"/>
      <x:c r="N47" s="2"/>
      <x:c r="O47" s="2"/>
      <x:c r="P47" s="2"/>
      <x:c r="Q47" s="2"/>
    </x:row>
    <x:row r="48" ht="23" customHeight="1">
      <x:c r="A48" s="2"/>
      <x:c r="B48" s="2"/>
      <x:c r="C48" s="4" t="str">
        <x:v>Series B investors</x:v>
      </x:c>
      <x:c r="D48" s="38" t="n">
        <x:v>0</x:v>
      </x:c>
      <x:c r="E48" s="72" t="n">
        <x:f>0</x:f>
        <x:v>0</x:v>
      </x:c>
      <x:c r="F48" s="72" t="n">
        <x:f>0</x:f>
        <x:v>0</x:v>
      </x:c>
      <x:c r="G48" s="72" t="n">
        <x:f>0</x:f>
        <x:v>0</x:v>
      </x:c>
      <x:c r="H48" s="72" t="n">
        <x:f>$G$38</x:f>
        <x:v>0.2</x:v>
      </x:c>
      <x:c r="I48" s="72" t="n">
        <x:f>H48*(1-$I$39)*(1-$G$39)</x:f>
        <x:v>0.15555555555555556</x:v>
      </x:c>
      <x:c r="J48" s="2"/>
      <x:c r="K48" s="2"/>
      <x:c r="L48" s="2"/>
      <x:c r="M48" s="2"/>
      <x:c r="N48" s="2"/>
      <x:c r="O48" s="2"/>
      <x:c r="P48" s="2"/>
      <x:c r="Q48" s="2"/>
    </x:row>
    <x:row r="49" ht="23" customHeight="1">
      <x:c r="A49" s="2"/>
      <x:c r="B49" s="2"/>
      <x:c r="C49" s="4" t="str">
        <x:v>Series C investors</x:v>
      </x:c>
      <x:c r="D49" s="38" t="n">
        <x:v>0</x:v>
      </x:c>
      <x:c r="E49" s="72" t="n">
        <x:f>0</x:f>
        <x:v>0</x:v>
      </x:c>
      <x:c r="F49" s="72" t="n">
        <x:f>0</x:f>
        <x:v>0</x:v>
      </x:c>
      <x:c r="G49" s="72" t="n">
        <x:f>0</x:f>
        <x:v>0</x:v>
      </x:c>
      <x:c r="H49" s="72" t="n">
        <x:f>0</x:f>
        <x:v>0</x:v>
      </x:c>
      <x:c r="I49" s="72" t="n">
        <x:f>$G$39</x:f>
        <x:v>0.2</x:v>
      </x:c>
      <x:c r="J49" s="2"/>
      <x:c r="K49" s="2"/>
      <x:c r="L49" s="2"/>
      <x:c r="M49" s="2"/>
      <x:c r="N49" s="2"/>
      <x:c r="O49" s="2"/>
      <x:c r="P49" s="2"/>
      <x:c r="Q49" s="2"/>
    </x:row>
    <x:row r="50" ht="23" customHeight="1">
      <x:c r="A50" s="2"/>
      <x:c r="B50" s="2"/>
      <x:c r="C50" s="106" t="str">
        <x:v>Total fully diluted ownership</x:v>
      </x:c>
      <x:c r="D50" s="139" t="n">
        <x:f>SUM(D43:D49)</x:f>
        <x:v>1</x:v>
      </x:c>
      <x:c r="E50" s="139" t="n">
        <x:f>SUM(E43:E49)</x:f>
        <x:v>1</x:v>
      </x:c>
      <x:c r="F50" s="139" t="n">
        <x:f>SUM(F43:F49)</x:f>
        <x:v>1</x:v>
      </x:c>
      <x:c r="G50" s="139" t="n">
        <x:f>SUM(G43:G49)</x:f>
        <x:v>1</x:v>
      </x:c>
      <x:c r="H50" s="139" t="n">
        <x:f>SUM(H43:H49)</x:f>
        <x:v>1</x:v>
      </x:c>
      <x:c r="I50" s="139" t="n">
        <x:f>SUM(I43:I49)</x:f>
        <x:v>1</x:v>
      </x:c>
      <x:c r="J50" s="2"/>
      <x:c r="K50" s="2"/>
      <x:c r="L50" s="2"/>
      <x:c r="M50" s="2"/>
      <x:c r="N50" s="2"/>
      <x:c r="O50" s="2"/>
      <x:c r="P50" s="2"/>
      <x:c r="Q50" s="2"/>
    </x:row>
    <x:row r="51" ht="23" customHeight="1">
      <x:c r="A51" s="2"/>
      <x:c r="B51" s="2"/>
      <x:c r="C51" s="2"/>
      <x:c r="D51" s="38"/>
      <x:c r="E51" s="38"/>
      <x:c r="F51" s="38"/>
      <x:c r="G51" s="38"/>
      <x:c r="H51" s="38"/>
      <x:c r="I51" s="38"/>
      <x:c r="J51" s="2"/>
      <x:c r="K51" s="2"/>
      <x:c r="L51" s="2"/>
      <x:c r="M51" s="2"/>
      <x:c r="N51" s="2"/>
      <x:c r="O51" s="2"/>
      <x:c r="P51" s="2"/>
      <x:c r="Q51" s="2"/>
    </x:row>
    <x:row r="52" ht="23" customHeight="1">
      <x:c r="A52" s="2"/>
      <x:c r="B52" s="2"/>
      <x:c r="C52" s="4" t="str">
        <x:v>Founders without further pool top-ups</x:v>
      </x:c>
      <x:c r="D52" s="72" t="n">
        <x:f>D43</x:f>
        <x:v>0.9</x:v>
      </x:c>
      <x:c r="E52" s="72" t="n">
        <x:f>D52*(1-$G$35)</x:f>
        <x:v>0.765</x:v>
      </x:c>
      <x:c r="F52" s="72" t="n">
        <x:f>E52*(1-$G$36)</x:f>
        <x:v>0.6120000000000001</x:v>
      </x:c>
      <x:c r="G52" s="72" t="n">
        <x:f>F52*(1-$G$37)</x:f>
        <x:v>0.4896000000000001</x:v>
      </x:c>
      <x:c r="H52" s="72" t="n">
        <x:f>G52*(1-$G$38)</x:f>
        <x:v>0.3916800000000001</x:v>
      </x:c>
      <x:c r="I52" s="72" t="n">
        <x:f>H52*(1-$G$39)</x:f>
        <x:v>0.31334400000000007</x:v>
      </x:c>
      <x:c r="J52" s="2"/>
      <x:c r="K52" s="2"/>
      <x:c r="L52" s="2"/>
      <x:c r="M52" s="2"/>
      <x:c r="N52" s="2"/>
      <x:c r="O52" s="2"/>
      <x:c r="P52" s="2"/>
      <x:c r="Q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3" customHeight="1">
      <x:c r="A54" s="2"/>
      <x:c r="B54" s="2"/>
      <x:c r="C54" s="4" t="str">
        <x:v>These are combined founder stakes. Actual founders, SAFEs and rights require a real cap table.</x:v>
      </x:c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3" customHeight="1">
      <x:c r="A55" s="2"/>
      <x:c r="B55" s="2"/>
      <x:c r="C55" s="4" t="str">
        <x:v>Ownership percentage and board control are separate decisions. No exit proceeds assumed.</x:v>
      </x:c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3" customHeight="1">
      <x:c r="A58" s="2"/>
      <x:c r="B58" s="2"/>
      <x:c r="C58" s="20" t="str">
        <x:v>Cash without future raises in the selected funding window</x:v>
      </x:c>
      <x:c r="D58" s="21"/>
      <x:c r="E58" s="21"/>
      <x:c r="F58" s="21"/>
      <x:c r="G58" s="21"/>
      <x:c r="H58" s="21"/>
      <x:c r="I58" s="21"/>
      <x:c r="J58" s="2"/>
      <x:c r="K58" s="2"/>
      <x:c r="L58" s="2"/>
      <x:c r="M58" s="2"/>
      <x:c r="N58" s="2"/>
      <x:c r="O58" s="2"/>
      <x:c r="P58" s="2"/>
      <x:c r="Q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42" customHeight="1">
      <x:c r="A60" s="2"/>
      <x:c r="B60" s="2"/>
      <x:c r="C60" s="50" t="str">
        <x:v>Forecast month</x:v>
      </x:c>
      <x:c r="D60" s="140" t="str">
        <x:v>Cash without future raises (INR)</x:v>
      </x:c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3" customHeight="1">
      <x:c r="A61" s="2"/>
      <x:c r="B61" s="2"/>
      <x:c r="C61" s="2" t="n">
        <x:v>1</x:v>
      </x:c>
      <x:c r="D61" s="69" t="n">
        <x:f>IF(AND(C61&gt;=$D$15,C61&lt;=$D$19),'Forecast'!E68-IF($D$15=1,'Assumptions'!$D$9,INDEX('Forecast'!$E$68:$BL$68,1,MAX(1,$D$15-1)))+$D$20,"")</x:f>
        <x:v>1914048.0296006352</x:v>
      </x:c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3" customHeight="1">
      <x:c r="A62" s="2"/>
      <x:c r="B62" s="2"/>
      <x:c r="C62" s="2" t="n">
        <x:v>2</x:v>
      </x:c>
      <x:c r="D62" s="69" t="n">
        <x:f>IF(AND(C62&gt;=$D$15,C62&lt;=$D$19),'Forecast'!F68-IF($D$15=1,'Assumptions'!$D$9,INDEX('Forecast'!$E$68:$BL$68,1,MAX(1,$D$15-1)))+$D$20,"")</x:f>
        <x:v>1449003.1007835714</x:v>
      </x:c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3" customHeight="1">
      <x:c r="A63" s="2"/>
      <x:c r="B63" s="2"/>
      <x:c r="C63" s="2" t="n">
        <x:v>3</x:v>
      </x:c>
      <x:c r="D63" s="69" t="n">
        <x:f>IF(AND(C63&gt;=$D$15,C63&lt;=$D$19),'Forecast'!G68-IF($D$15=1,'Assumptions'!$D$9,INDEX('Forecast'!$E$68:$BL$68,1,MAX(1,$D$15-1)))+$D$20,"")</x:f>
        <x:v>1004706.8137201325</x:v>
      </x:c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3" customHeight="1">
      <x:c r="A64" s="2"/>
      <x:c r="B64" s="2"/>
      <x:c r="C64" s="2" t="n">
        <x:v>4</x:v>
      </x:c>
      <x:c r="D64" s="69" t="n">
        <x:f>IF(AND(C64&gt;=$D$15,C64&lt;=$D$19),'Forecast'!H68-IF($D$15=1,'Assumptions'!$D$9,INDEX('Forecast'!$E$68:$BL$68,1,MAX(1,$D$15-1)))+$D$20,"")</x:f>
        <x:v>581001.9737847438</x:v>
      </x:c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3" customHeight="1">
      <x:c r="A65" s="2"/>
      <x:c r="B65" s="2"/>
      <x:c r="C65" s="2" t="n">
        <x:v>5</x:v>
      </x:c>
      <x:c r="D65" s="69" t="n">
        <x:f>IF(AND(C65&gt;=$D$15,C65&lt;=$D$19),'Forecast'!I68-IF($D$15=1,'Assumptions'!$D$9,INDEX('Forecast'!$E$68:$BL$68,1,MAX(1,$D$15-1)))+$D$20,"")</x:f>
        <x:v>177732.58234727615</x:v>
      </x:c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3" customHeight="1">
      <x:c r="A66" s="2"/>
      <x:c r="B66" s="2"/>
      <x:c r="C66" s="2" t="n">
        <x:v>6</x:v>
      </x:c>
      <x:c r="D66" s="69" t="n">
        <x:f>IF(AND(C66&gt;=$D$15,C66&lt;=$D$19),'Forecast'!J68-IF($D$15=1,'Assumptions'!$D$9,INDEX('Forecast'!$E$68:$BL$68,1,MAX(1,$D$15-1)))+$D$20,"")</x:f>
        <x:v>-205256.1723639872</x:v>
      </x:c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3" customHeight="1">
      <x:c r="A67" s="2"/>
      <x:c r="B67" s="2"/>
      <x:c r="C67" s="2" t="n">
        <x:v>7</x:v>
      </x:c>
      <x:c r="D67" s="69" t="n">
        <x:f>IF(AND(C67&gt;=$D$15,C67&lt;=$D$19),'Forecast'!K68-IF($D$15=1,'Assumptions'!$D$9,INDEX('Forecast'!$E$68:$BL$68,1,MAX(1,$D$15-1)))+$D$20,"")</x:f>
        <x:v>-568117.9243293023</x:v>
      </x:c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3" customHeight="1">
      <x:c r="A68" s="2"/>
      <x:c r="B68" s="2"/>
      <x:c r="C68" s="2" t="n">
        <x:v>8</x:v>
      </x:c>
      <x:c r="D68" s="69" t="n">
        <x:f>IF(AND(C68&gt;=$D$15,C68&lt;=$D$19),'Forecast'!L68-IF($D$15=1,'Assumptions'!$D$9,INDEX('Forecast'!$E$68:$BL$68,1,MAX(1,$D$15-1)))+$D$20,"")</x:f>
        <x:v>-911005.138734878</x:v>
      </x:c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3" customHeight="1">
      <x:c r="A69" s="2"/>
      <x:c r="B69" s="2"/>
      <x:c r="C69" s="2" t="n">
        <x:v>9</x:v>
      </x:c>
      <x:c r="D69" s="69" t="n">
        <x:f>IF(AND(C69&gt;=$D$15,C69&lt;=$D$19),'Forecast'!M68-IF($D$15=1,'Assumptions'!$D$9,INDEX('Forecast'!$E$68:$BL$68,1,MAX(1,$D$15-1)))+$D$20,"")</x:f>
        <x:v>-1234069.1209012857</x:v>
      </x:c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3" customHeight="1">
      <x:c r="A70" s="2"/>
      <x:c r="B70" s="2"/>
      <x:c r="C70" s="2" t="n">
        <x:v>10</x:v>
      </x:c>
      <x:c r="D70" s="69" t="n">
        <x:f>IF(AND(C70&gt;=$D$15,C70&lt;=$D$19),'Forecast'!N68-IF($D$15=1,'Assumptions'!$D$9,INDEX('Forecast'!$E$68:$BL$68,1,MAX(1,$D$15-1)))+$D$20,"")</x:f>
        <x:v>-1537460.0251433887</x:v>
      </x:c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3" customHeight="1">
      <x:c r="A71" s="2"/>
      <x:c r="B71" s="2"/>
      <x:c r="C71" s="2" t="n">
        <x:v>11</x:v>
      </x:c>
      <x:c r="D71" s="69" t="n">
        <x:f>IF(AND(C71&gt;=$D$15,C71&lt;=$D$19),'Forecast'!O68-IF($D$15=1,'Assumptions'!$D$9,INDEX('Forecast'!$E$68:$BL$68,1,MAX(1,$D$15-1)))+$D$20,"")</x:f>
        <x:v>-1821326.8635623362</x:v>
      </x:c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3" customHeight="1">
      <x:c r="A72" s="2"/>
      <x:c r="B72" s="2"/>
      <x:c r="C72" s="2" t="n">
        <x:v>12</x:v>
      </x:c>
      <x:c r="D72" s="69" t="n">
        <x:f>IF(AND(C72&gt;=$D$15,C72&lt;=$D$19),'Forecast'!P68-IF($D$15=1,'Assumptions'!$D$9,INDEX('Forecast'!$E$68:$BL$68,1,MAX(1,$D$15-1)))+$D$20,"")</x:f>
        <x:v>-2085817.5147701195</x:v>
      </x:c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3" customHeight="1">
      <x:c r="A73" s="2"/>
      <x:c r="B73" s="2"/>
      <x:c r="C73" s="2" t="n">
        <x:v>13</x:v>
      </x:c>
      <x:c r="D73" s="69" t="n">
        <x:f>IF(AND(C73&gt;=$D$15,C73&lt;=$D$19),'Forecast'!Q68-IF($D$15=1,'Assumptions'!$D$9,INDEX('Forecast'!$E$68:$BL$68,1,MAX(1,$D$15-1)))+$D$20,"")</x:f>
        <x:v>-3785699.8594412664</x:v>
      </x:c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3" customHeight="1">
      <x:c r="A74" s="2"/>
      <x:c r="B74" s="2"/>
      <x:c r="C74" s="2" t="n">
        <x:v>14</x:v>
      </x:c>
      <x:c r="D74" s="69" t="n">
        <x:f>IF(AND(C74&gt;=$D$15,C74&lt;=$D$19),'Forecast'!R68-IF($D$15=1,'Assumptions'!$D$9,INDEX('Forecast'!$E$68:$BL$68,1,MAX(1,$D$15-1)))+$D$20,"")</x:f>
        <x:v>-5044080.311067823</x:v>
      </x:c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3" customHeight="1">
      <x:c r="A75" s="2"/>
      <x:c r="B75" s="2"/>
      <x:c r="C75" s="2" t="n">
        <x:v>15</x:v>
      </x:c>
      <x:c r="D75" s="69" t="n">
        <x:f>IF(AND(C75&gt;=$D$15,C75&lt;=$D$19),'Forecast'!S68-IF($D$15=1,'Assumptions'!$D$9,INDEX('Forecast'!$E$68:$BL$68,1,MAX(1,$D$15-1)))+$D$20,"")</x:f>
        <x:v>-6162036.347688951</x:v>
      </x:c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3" customHeight="1">
      <x:c r="A76" s="2"/>
      <x:c r="B76" s="2"/>
      <x:c r="C76" s="2" t="n">
        <x:v>16</x:v>
      </x:c>
      <x:c r="D76" s="69" t="n">
        <x:f>IF(AND(C76&gt;=$D$15,C76&lt;=$D$19),'Forecast'!T68-IF($D$15=1,'Assumptions'!$D$9,INDEX('Forecast'!$E$68:$BL$68,1,MAX(1,$D$15-1)))+$D$20,"")</x:f>
        <x:v>-7140637.209279228</x:v>
      </x:c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3" customHeight="1">
      <x:c r="A77" s="2"/>
      <x:c r="B77" s="2"/>
      <x:c r="C77" s="2" t="n">
        <x:v>17</x:v>
      </x:c>
      <x:c r="D77" s="69" t="n">
        <x:f>IF(AND(C77&gt;=$D$15,C77&lt;=$D$19),'Forecast'!U68-IF($D$15=1,'Assumptions'!$D$9,INDEX('Forecast'!$E$68:$BL$68,1,MAX(1,$D$15-1)))+$D$20,"")</x:f>
        <x:v>-7980943.960980862</x:v>
      </x:c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3" customHeight="1">
      <x:c r="A78" s="2"/>
      <x:c r="B78" s="2"/>
      <x:c r="C78" s="2" t="n">
        <x:v>18</x:v>
      </x:c>
      <x:c r="D78" s="69" t="n">
        <x:f>IF(AND(C78&gt;=$D$15,C78&lt;=$D$19),'Forecast'!V68-IF($D$15=1,'Assumptions'!$D$9,INDEX('Forecast'!$E$68:$BL$68,1,MAX(1,$D$15-1)))+$D$20,"")</x:f>
        <x:v>-8684009.555848723</x:v>
      </x:c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3" customHeight="1">
      <x:c r="A79" s="2"/>
      <x:c r="B79" s="2"/>
      <x:c r="C79" s="2" t="n">
        <x:v>19</x:v>
      </x:c>
      <x:c r="D79" s="69" t="str">
        <x:f>IF(AND(C79&gt;=$D$15,C79&lt;=$D$19),'Forecast'!W68-IF($D$15=1,'Assumptions'!$D$9,INDEX('Forecast'!$E$68:$BL$68,1,MAX(1,$D$15-1)))+$D$20,"")</x:f>
      </x:c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3" customHeight="1">
      <x:c r="A80" s="2"/>
      <x:c r="B80" s="2"/>
      <x:c r="C80" s="2" t="n">
        <x:v>20</x:v>
      </x:c>
      <x:c r="D80" s="69" t="str">
        <x:f>IF(AND(C80&gt;=$D$15,C80&lt;=$D$19),'Forecast'!X68-IF($D$15=1,'Assumptions'!$D$9,INDEX('Forecast'!$E$68:$BL$68,1,MAX(1,$D$15-1)))+$D$20,"")</x:f>
      </x:c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3" customHeight="1">
      <x:c r="A81" s="2"/>
      <x:c r="B81" s="2"/>
      <x:c r="C81" s="2" t="n">
        <x:v>21</x:v>
      </x:c>
      <x:c r="D81" s="69" t="str">
        <x:f>IF(AND(C81&gt;=$D$15,C81&lt;=$D$19),'Forecast'!Y68-IF($D$15=1,'Assumptions'!$D$9,INDEX('Forecast'!$E$68:$BL$68,1,MAX(1,$D$15-1)))+$D$20,"")</x:f>
      </x:c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3" customHeight="1">
      <x:c r="A82" s="2"/>
      <x:c r="B82" s="2"/>
      <x:c r="C82" s="2" t="n">
        <x:v>22</x:v>
      </x:c>
      <x:c r="D82" s="69" t="str">
        <x:f>IF(AND(C82&gt;=$D$15,C82&lt;=$D$19),'Forecast'!Z68-IF($D$15=1,'Assumptions'!$D$9,INDEX('Forecast'!$E$68:$BL$68,1,MAX(1,$D$15-1)))+$D$20,"")</x:f>
      </x:c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3" customHeight="1">
      <x:c r="A83" s="2"/>
      <x:c r="B83" s="2"/>
      <x:c r="C83" s="2" t="n">
        <x:v>23</x:v>
      </x:c>
      <x:c r="D83" s="69" t="str">
        <x:f>IF(AND(C83&gt;=$D$15,C83&lt;=$D$19),'Forecast'!AA68-IF($D$15=1,'Assumptions'!$D$9,INDEX('Forecast'!$E$68:$BL$68,1,MAX(1,$D$15-1)))+$D$20,"")</x:f>
      </x:c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3" customHeight="1">
      <x:c r="A84" s="2"/>
      <x:c r="B84" s="2"/>
      <x:c r="C84" s="2" t="n">
        <x:v>24</x:v>
      </x:c>
      <x:c r="D84" s="69" t="str">
        <x:f>IF(AND(C84&gt;=$D$15,C84&lt;=$D$19),'Forecast'!AB68-IF($D$15=1,'Assumptions'!$D$9,INDEX('Forecast'!$E$68:$BL$68,1,MAX(1,$D$15-1)))+$D$20,"")</x:f>
      </x:c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3" customHeight="1">
      <x:c r="A85" s="2"/>
      <x:c r="B85" s="2"/>
      <x:c r="C85" s="2" t="n">
        <x:v>25</x:v>
      </x:c>
      <x:c r="D85" s="69" t="str">
        <x:f>IF(AND(C85&gt;=$D$15,C85&lt;=$D$19),'Forecast'!AC68-IF($D$15=1,'Assumptions'!$D$9,INDEX('Forecast'!$E$68:$BL$68,1,MAX(1,$D$15-1)))+$D$20,"")</x:f>
      </x:c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3" customHeight="1">
      <x:c r="A86" s="2"/>
      <x:c r="B86" s="2"/>
      <x:c r="C86" s="2" t="n">
        <x:v>26</x:v>
      </x:c>
      <x:c r="D86" s="69" t="str">
        <x:f>IF(AND(C86&gt;=$D$15,C86&lt;=$D$19),'Forecast'!AD68-IF($D$15=1,'Assumptions'!$D$9,INDEX('Forecast'!$E$68:$BL$68,1,MAX(1,$D$15-1)))+$D$20,"")</x:f>
      </x:c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3" customHeight="1">
      <x:c r="A87" s="2"/>
      <x:c r="B87" s="2"/>
      <x:c r="C87" s="2" t="n">
        <x:v>27</x:v>
      </x:c>
      <x:c r="D87" s="69" t="str">
        <x:f>IF(AND(C87&gt;=$D$15,C87&lt;=$D$19),'Forecast'!AE68-IF($D$15=1,'Assumptions'!$D$9,INDEX('Forecast'!$E$68:$BL$68,1,MAX(1,$D$15-1)))+$D$20,"")</x:f>
      </x:c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3" customHeight="1">
      <x:c r="A88" s="2"/>
      <x:c r="B88" s="2"/>
      <x:c r="C88" s="2" t="n">
        <x:v>28</x:v>
      </x:c>
      <x:c r="D88" s="69" t="str">
        <x:f>IF(AND(C88&gt;=$D$15,C88&lt;=$D$19),'Forecast'!AF68-IF($D$15=1,'Assumptions'!$D$9,INDEX('Forecast'!$E$68:$BL$68,1,MAX(1,$D$15-1)))+$D$20,"")</x:f>
      </x:c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3" customHeight="1">
      <x:c r="A89" s="2"/>
      <x:c r="B89" s="2"/>
      <x:c r="C89" s="2" t="n">
        <x:v>29</x:v>
      </x:c>
      <x:c r="D89" s="69" t="str">
        <x:f>IF(AND(C89&gt;=$D$15,C89&lt;=$D$19),'Forecast'!AG68-IF($D$15=1,'Assumptions'!$D$9,INDEX('Forecast'!$E$68:$BL$68,1,MAX(1,$D$15-1)))+$D$20,"")</x:f>
      </x:c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3" customHeight="1">
      <x:c r="A90" s="2"/>
      <x:c r="B90" s="2"/>
      <x:c r="C90" s="2" t="n">
        <x:v>30</x:v>
      </x:c>
      <x:c r="D90" s="69" t="str">
        <x:f>IF(AND(C90&gt;=$D$15,C90&lt;=$D$19),'Forecast'!AH68-IF($D$15=1,'Assumptions'!$D$9,INDEX('Forecast'!$E$68:$BL$68,1,MAX(1,$D$15-1)))+$D$20,"")</x:f>
      </x:c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3" customHeight="1">
      <x:c r="A91" s="2"/>
      <x:c r="B91" s="2"/>
      <x:c r="C91" s="2" t="n">
        <x:v>31</x:v>
      </x:c>
      <x:c r="D91" s="69" t="str">
        <x:f>IF(AND(C91&gt;=$D$15,C91&lt;=$D$19),'Forecast'!AI68-IF($D$15=1,'Assumptions'!$D$9,INDEX('Forecast'!$E$68:$BL$68,1,MAX(1,$D$15-1)))+$D$20,"")</x:f>
      </x:c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3" customHeight="1">
      <x:c r="A92" s="2"/>
      <x:c r="B92" s="2"/>
      <x:c r="C92" s="2" t="n">
        <x:v>32</x:v>
      </x:c>
      <x:c r="D92" s="69" t="str">
        <x:f>IF(AND(C92&gt;=$D$15,C92&lt;=$D$19),'Forecast'!AJ68-IF($D$15=1,'Assumptions'!$D$9,INDEX('Forecast'!$E$68:$BL$68,1,MAX(1,$D$15-1)))+$D$20,"")</x:f>
      </x:c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3" customHeight="1">
      <x:c r="A93" s="2"/>
      <x:c r="B93" s="2"/>
      <x:c r="C93" s="2" t="n">
        <x:v>33</x:v>
      </x:c>
      <x:c r="D93" s="69" t="str">
        <x:f>IF(AND(C93&gt;=$D$15,C93&lt;=$D$19),'Forecast'!AK68-IF($D$15=1,'Assumptions'!$D$9,INDEX('Forecast'!$E$68:$BL$68,1,MAX(1,$D$15-1)))+$D$20,"")</x:f>
      </x:c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3" customHeight="1">
      <x:c r="A94" s="2"/>
      <x:c r="B94" s="2"/>
      <x:c r="C94" s="2" t="n">
        <x:v>34</x:v>
      </x:c>
      <x:c r="D94" s="69" t="str">
        <x:f>IF(AND(C94&gt;=$D$15,C94&lt;=$D$19),'Forecast'!AL68-IF($D$15=1,'Assumptions'!$D$9,INDEX('Forecast'!$E$68:$BL$68,1,MAX(1,$D$15-1)))+$D$20,"")</x:f>
      </x:c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3" customHeight="1">
      <x:c r="A95" s="2"/>
      <x:c r="B95" s="2"/>
      <x:c r="C95" s="2" t="n">
        <x:v>35</x:v>
      </x:c>
      <x:c r="D95" s="69" t="str">
        <x:f>IF(AND(C95&gt;=$D$15,C95&lt;=$D$19),'Forecast'!AM68-IF($D$15=1,'Assumptions'!$D$9,INDEX('Forecast'!$E$68:$BL$68,1,MAX(1,$D$15-1)))+$D$20,"")</x:f>
      </x:c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3" customHeight="1">
      <x:c r="A96" s="2"/>
      <x:c r="B96" s="2"/>
      <x:c r="C96" s="2" t="n">
        <x:v>36</x:v>
      </x:c>
      <x:c r="D96" s="69" t="str">
        <x:f>IF(AND(C96&gt;=$D$15,C96&lt;=$D$19),'Forecast'!AN68-IF($D$15=1,'Assumptions'!$D$9,INDEX('Forecast'!$E$68:$BL$68,1,MAX(1,$D$15-1)))+$D$20,"")</x:f>
      </x:c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3" customHeight="1">
      <x:c r="A97" s="2"/>
      <x:c r="B97" s="2"/>
      <x:c r="C97" s="2" t="n">
        <x:v>37</x:v>
      </x:c>
      <x:c r="D97" s="69" t="str">
        <x:f>IF(AND(C97&gt;=$D$15,C97&lt;=$D$19),'Forecast'!AO68-IF($D$15=1,'Assumptions'!$D$9,INDEX('Forecast'!$E$68:$BL$68,1,MAX(1,$D$15-1)))+$D$20,"")</x:f>
      </x:c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3" customHeight="1">
      <x:c r="A98" s="2"/>
      <x:c r="B98" s="2"/>
      <x:c r="C98" s="2" t="n">
        <x:v>38</x:v>
      </x:c>
      <x:c r="D98" s="69" t="str">
        <x:f>IF(AND(C98&gt;=$D$15,C98&lt;=$D$19),'Forecast'!AP68-IF($D$15=1,'Assumptions'!$D$9,INDEX('Forecast'!$E$68:$BL$68,1,MAX(1,$D$15-1)))+$D$20,"")</x:f>
      </x:c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3" customHeight="1">
      <x:c r="A99" s="2"/>
      <x:c r="B99" s="2"/>
      <x:c r="C99" s="2" t="n">
        <x:v>39</x:v>
      </x:c>
      <x:c r="D99" s="69" t="str">
        <x:f>IF(AND(C99&gt;=$D$15,C99&lt;=$D$19),'Forecast'!AQ68-IF($D$15=1,'Assumptions'!$D$9,INDEX('Forecast'!$E$68:$BL$68,1,MAX(1,$D$15-1)))+$D$20,"")</x:f>
      </x:c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3" customHeight="1">
      <x:c r="A100" s="2"/>
      <x:c r="B100" s="2"/>
      <x:c r="C100" s="2" t="n">
        <x:v>40</x:v>
      </x:c>
      <x:c r="D100" s="69" t="str">
        <x:f>IF(AND(C100&gt;=$D$15,C100&lt;=$D$19),'Forecast'!AR68-IF($D$15=1,'Assumptions'!$D$9,INDEX('Forecast'!$E$68:$BL$68,1,MAX(1,$D$15-1)))+$D$20,"")</x:f>
      </x:c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3" customHeight="1">
      <x:c r="A101" s="2"/>
      <x:c r="B101" s="2"/>
      <x:c r="C101" s="2" t="n">
        <x:v>41</x:v>
      </x:c>
      <x:c r="D101" s="69" t="str">
        <x:f>IF(AND(C101&gt;=$D$15,C101&lt;=$D$19),'Forecast'!AS68-IF($D$15=1,'Assumptions'!$D$9,INDEX('Forecast'!$E$68:$BL$68,1,MAX(1,$D$15-1)))+$D$20,"")</x:f>
      </x:c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3" customHeight="1">
      <x:c r="A102" s="2"/>
      <x:c r="B102" s="2"/>
      <x:c r="C102" s="2" t="n">
        <x:v>42</x:v>
      </x:c>
      <x:c r="D102" s="69" t="str">
        <x:f>IF(AND(C102&gt;=$D$15,C102&lt;=$D$19),'Forecast'!AT68-IF($D$15=1,'Assumptions'!$D$9,INDEX('Forecast'!$E$68:$BL$68,1,MAX(1,$D$15-1)))+$D$20,"")</x:f>
      </x:c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3" customHeight="1">
      <x:c r="A103" s="2"/>
      <x:c r="B103" s="2"/>
      <x:c r="C103" s="2" t="n">
        <x:v>43</x:v>
      </x:c>
      <x:c r="D103" s="69" t="str">
        <x:f>IF(AND(C103&gt;=$D$15,C103&lt;=$D$19),'Forecast'!AU68-IF($D$15=1,'Assumptions'!$D$9,INDEX('Forecast'!$E$68:$BL$68,1,MAX(1,$D$15-1)))+$D$20,"")</x:f>
      </x:c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3" customHeight="1">
      <x:c r="A104" s="2"/>
      <x:c r="B104" s="2"/>
      <x:c r="C104" s="2" t="n">
        <x:v>44</x:v>
      </x:c>
      <x:c r="D104" s="69" t="str">
        <x:f>IF(AND(C104&gt;=$D$15,C104&lt;=$D$19),'Forecast'!AV68-IF($D$15=1,'Assumptions'!$D$9,INDEX('Forecast'!$E$68:$BL$68,1,MAX(1,$D$15-1)))+$D$20,"")</x:f>
      </x:c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3" customHeight="1">
      <x:c r="A105" s="2"/>
      <x:c r="B105" s="2"/>
      <x:c r="C105" s="2" t="n">
        <x:v>45</x:v>
      </x:c>
      <x:c r="D105" s="69" t="str">
        <x:f>IF(AND(C105&gt;=$D$15,C105&lt;=$D$19),'Forecast'!AW68-IF($D$15=1,'Assumptions'!$D$9,INDEX('Forecast'!$E$68:$BL$68,1,MAX(1,$D$15-1)))+$D$20,"")</x:f>
      </x:c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3" customHeight="1">
      <x:c r="A106" s="2"/>
      <x:c r="B106" s="2"/>
      <x:c r="C106" s="2" t="n">
        <x:v>46</x:v>
      </x:c>
      <x:c r="D106" s="69" t="str">
        <x:f>IF(AND(C106&gt;=$D$15,C106&lt;=$D$19),'Forecast'!AX68-IF($D$15=1,'Assumptions'!$D$9,INDEX('Forecast'!$E$68:$BL$68,1,MAX(1,$D$15-1)))+$D$20,"")</x:f>
      </x:c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3" customHeight="1">
      <x:c r="A107" s="2"/>
      <x:c r="B107" s="2"/>
      <x:c r="C107" s="2" t="n">
        <x:v>47</x:v>
      </x:c>
      <x:c r="D107" s="69" t="str">
        <x:f>IF(AND(C107&gt;=$D$15,C107&lt;=$D$19),'Forecast'!AY68-IF($D$15=1,'Assumptions'!$D$9,INDEX('Forecast'!$E$68:$BL$68,1,MAX(1,$D$15-1)))+$D$20,"")</x:f>
      </x:c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3" customHeight="1">
      <x:c r="A108" s="2"/>
      <x:c r="B108" s="2"/>
      <x:c r="C108" s="2" t="n">
        <x:v>48</x:v>
      </x:c>
      <x:c r="D108" s="69" t="str">
        <x:f>IF(AND(C108&gt;=$D$15,C108&lt;=$D$19),'Forecast'!AZ68-IF($D$15=1,'Assumptions'!$D$9,INDEX('Forecast'!$E$68:$BL$68,1,MAX(1,$D$15-1)))+$D$20,"")</x:f>
      </x:c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3" customHeight="1">
      <x:c r="A109" s="2"/>
      <x:c r="B109" s="2"/>
      <x:c r="C109" s="2" t="n">
        <x:v>49</x:v>
      </x:c>
      <x:c r="D109" s="69" t="str">
        <x:f>IF(AND(C109&gt;=$D$15,C109&lt;=$D$19),'Forecast'!BA68-IF($D$15=1,'Assumptions'!$D$9,INDEX('Forecast'!$E$68:$BL$68,1,MAX(1,$D$15-1)))+$D$20,"")</x:f>
      </x:c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3" customHeight="1">
      <x:c r="A110" s="2"/>
      <x:c r="B110" s="2"/>
      <x:c r="C110" s="2" t="n">
        <x:v>50</x:v>
      </x:c>
      <x:c r="D110" s="69" t="str">
        <x:f>IF(AND(C110&gt;=$D$15,C110&lt;=$D$19),'Forecast'!BB68-IF($D$15=1,'Assumptions'!$D$9,INDEX('Forecast'!$E$68:$BL$68,1,MAX(1,$D$15-1)))+$D$20,"")</x:f>
      </x:c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3" customHeight="1">
      <x:c r="A111" s="2"/>
      <x:c r="B111" s="2"/>
      <x:c r="C111" s="2" t="n">
        <x:v>51</x:v>
      </x:c>
      <x:c r="D111" s="69" t="str">
        <x:f>IF(AND(C111&gt;=$D$15,C111&lt;=$D$19),'Forecast'!BC68-IF($D$15=1,'Assumptions'!$D$9,INDEX('Forecast'!$E$68:$BL$68,1,MAX(1,$D$15-1)))+$D$20,"")</x:f>
      </x:c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3" customHeight="1">
      <x:c r="A112" s="2"/>
      <x:c r="B112" s="2"/>
      <x:c r="C112" s="2" t="n">
        <x:v>52</x:v>
      </x:c>
      <x:c r="D112" s="69" t="str">
        <x:f>IF(AND(C112&gt;=$D$15,C112&lt;=$D$19),'Forecast'!BD68-IF($D$15=1,'Assumptions'!$D$9,INDEX('Forecast'!$E$68:$BL$68,1,MAX(1,$D$15-1)))+$D$20,"")</x:f>
      </x:c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3" customHeight="1">
      <x:c r="A113" s="2"/>
      <x:c r="B113" s="2"/>
      <x:c r="C113" s="2" t="n">
        <x:v>53</x:v>
      </x:c>
      <x:c r="D113" s="69" t="str">
        <x:f>IF(AND(C113&gt;=$D$15,C113&lt;=$D$19),'Forecast'!BE68-IF($D$15=1,'Assumptions'!$D$9,INDEX('Forecast'!$E$68:$BL$68,1,MAX(1,$D$15-1)))+$D$20,"")</x:f>
      </x:c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3" customHeight="1">
      <x:c r="A114" s="2"/>
      <x:c r="B114" s="2"/>
      <x:c r="C114" s="2" t="n">
        <x:v>54</x:v>
      </x:c>
      <x:c r="D114" s="69" t="str">
        <x:f>IF(AND(C114&gt;=$D$15,C114&lt;=$D$19),'Forecast'!BF68-IF($D$15=1,'Assumptions'!$D$9,INDEX('Forecast'!$E$68:$BL$68,1,MAX(1,$D$15-1)))+$D$20,"")</x:f>
      </x:c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3" customHeight="1">
      <x:c r="A115" s="2"/>
      <x:c r="B115" s="2"/>
      <x:c r="C115" s="2" t="n">
        <x:v>55</x:v>
      </x:c>
      <x:c r="D115" s="69" t="str">
        <x:f>IF(AND(C115&gt;=$D$15,C115&lt;=$D$19),'Forecast'!BG68-IF($D$15=1,'Assumptions'!$D$9,INDEX('Forecast'!$E$68:$BL$68,1,MAX(1,$D$15-1)))+$D$20,"")</x:f>
      </x:c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3" customHeight="1">
      <x:c r="A116" s="2"/>
      <x:c r="B116" s="2"/>
      <x:c r="C116" s="2" t="n">
        <x:v>56</x:v>
      </x:c>
      <x:c r="D116" s="69" t="str">
        <x:f>IF(AND(C116&gt;=$D$15,C116&lt;=$D$19),'Forecast'!BH68-IF($D$15=1,'Assumptions'!$D$9,INDEX('Forecast'!$E$68:$BL$68,1,MAX(1,$D$15-1)))+$D$20,"")</x:f>
      </x:c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3" customHeight="1">
      <x:c r="A117" s="2"/>
      <x:c r="B117" s="2"/>
      <x:c r="C117" s="2" t="n">
        <x:v>57</x:v>
      </x:c>
      <x:c r="D117" s="69" t="str">
        <x:f>IF(AND(C117&gt;=$D$15,C117&lt;=$D$19),'Forecast'!BI68-IF($D$15=1,'Assumptions'!$D$9,INDEX('Forecast'!$E$68:$BL$68,1,MAX(1,$D$15-1)))+$D$20,"")</x:f>
      </x:c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3" customHeight="1">
      <x:c r="A118" s="2"/>
      <x:c r="B118" s="2"/>
      <x:c r="C118" s="2" t="n">
        <x:v>58</x:v>
      </x:c>
      <x:c r="D118" s="69" t="str">
        <x:f>IF(AND(C118&gt;=$D$15,C118&lt;=$D$19),'Forecast'!BJ68-IF($D$15=1,'Assumptions'!$D$9,INDEX('Forecast'!$E$68:$BL$68,1,MAX(1,$D$15-1)))+$D$20,"")</x:f>
      </x:c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3" customHeight="1">
      <x:c r="A119" s="2"/>
      <x:c r="B119" s="2"/>
      <x:c r="C119" s="2" t="n">
        <x:v>59</x:v>
      </x:c>
      <x:c r="D119" s="69" t="str">
        <x:f>IF(AND(C119&gt;=$D$15,C119&lt;=$D$19),'Forecast'!BK68-IF($D$15=1,'Assumptions'!$D$9,INDEX('Forecast'!$E$68:$BL$68,1,MAX(1,$D$15-1)))+$D$20,"")</x:f>
      </x:c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3" customHeight="1">
      <x:c r="A120" s="2"/>
      <x:c r="B120" s="2"/>
      <x:c r="C120" s="2" t="n">
        <x:v>60</x:v>
      </x:c>
      <x:c r="D120" s="69" t="str">
        <x:f>IF(AND(C120&gt;=$D$15,C120&lt;=$D$19),'Forecast'!BL68-IF($D$15=1,'Assumptions'!$D$9,INDEX('Forecast'!$E$68:$BL$68,1,MAX(1,$D$15-1)))+$D$20,"")</x:f>
      </x:c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3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3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</x:sheetData>
  <x:conditionalFormatting sqref="D50:I50">
    <x:cfRule type="expression" dxfId="19" priority="1">
      <x:formula>ABS(D50-1)&gt;0.000001</x:formula>
    </x:cfRule>
  </x:conditionalFormatting>
  <x:dataValidations count="7">
    <x:dataValidation type="whole" operator="between" sqref="F8">
      <x:formula1>0</x:formula1>
      <x:formula2>1</x:formula2>
    </x:dataValidation>
    <x:dataValidation type="whole" operator="between" sqref="F9">
      <x:formula1>0</x:formula1>
      <x:formula2>1</x:formula2>
    </x:dataValidation>
    <x:dataValidation type="whole" operator="between" sqref="F10">
      <x:formula1>0</x:formula1>
      <x:formula2>1</x:formula2>
    </x:dataValidation>
    <x:dataValidation type="whole" operator="between" sqref="F11">
      <x:formula1>0</x:formula1>
      <x:formula2>1</x:formula2>
    </x:dataValidation>
    <x:dataValidation type="whole" operator="between" sqref="F12">
      <x:formula1>0</x:formula1>
      <x:formula2>1</x:formula2>
    </x:dataValidation>
    <x:dataValidation type="whole" operator="between" sqref="D15">
      <x:formula1>1</x:formula1>
      <x:formula2>60</x:formula2>
    </x:dataValidation>
    <x:dataValidation type="whole" operator="between" sqref="D16">
      <x:formula1>1</x:formula1>
      <x:formula2>60</x:formula2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18" hidden="0" customWidth="1"/>
    <x:col min="5" max="5" width="24" hidden="0" customWidth="1"/>
    <x:col min="6" max="6" width="24" hidden="0" customWidth="1"/>
    <x:col min="7" max="7" width="24" hidden="0" customWidth="1"/>
    <x:col min="8" max="8" width="18" hidden="0" customWidth="1"/>
    <x:col min="9" max="9" width="18" hidden="0" customWidth="1"/>
    <x:col min="10" max="10" width="3" hidden="0" customWidth="1"/>
    <x:col min="11" max="11" width="64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3" customHeight="1">
      <x:c r="A2" s="2"/>
      <x:c r="B2" s="2"/>
      <x:c r="C2" s="12" t="str">
        <x:v>2UP valuation and ownership economics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3" customHeight="1">
      <x:c r="A3" s="2"/>
      <x:c r="B3" s="2"/>
      <x:c r="C3" s="4" t="str">
        <x:v>Forecast illustrations, not a current company appraisal or investor quote.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23" customHeight="1">
      <x:c r="A4" s="2"/>
      <x:c r="B4" s="2"/>
      <x:c r="C4" s="4" t="str">
        <x:v>Case selected:</x:v>
      </x:c>
      <x:c r="D4" s="8" t="str">
        <x:f>CHOOSE('Assumptions'!$D$4,"Base","Downside")</x:f>
        <x:v>Base</x:v>
      </x:c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3" customHeight="1">
      <x:c r="A6" s="2"/>
      <x:c r="B6" s="2"/>
      <x:c r="C6" s="4" t="str">
        <x:v>Forecast month for valuation</x:v>
      </x:c>
      <x:c r="D6" s="43" t="n">
        <x:v>36</x:v>
      </x:c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3" customHeight="1">
      <x:c r="A7" s="2"/>
      <x:c r="B7" s="2"/>
      <x:c r="C7" s="4" t="str">
        <x:v>Forecast software ARR (USD)</x:v>
      </x:c>
      <x:c r="D7" s="71" t="n">
        <x:f>INDEX('Forecast'!$E$27:$BL$27,1,D6)</x:f>
        <x:v>1158188.701779368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3" customHeight="1">
      <x:c r="A8" s="2"/>
      <x:c r="B8" s="2"/>
      <x:c r="C8" s="4" t="str">
        <x:v>EV / ARR multiple assumption</x:v>
      </x:c>
      <x:c r="D8" s="152" t="n">
        <x:v>4</x:v>
      </x:c>
      <x:c r="E8" s="2"/>
      <x:c r="F8" s="2"/>
      <x:c r="G8" s="2"/>
      <x:c r="H8" s="2"/>
      <x:c r="I8" s="2"/>
      <x:c r="J8" s="2"/>
      <x:c r="K8" s="4" t="str">
        <x:v>2x / 4x / 6x are assumption tests, not market medians.</x:v>
      </x:c>
      <x:c r="L8" s="2"/>
      <x:c r="M8" s="2"/>
      <x:c r="N8" s="2"/>
      <x:c r="O8" s="2"/>
      <x:c r="P8" s="2"/>
      <x:c r="Q8" s="2"/>
    </x:row>
    <x:row r="9" ht="23" customHeight="1">
      <x:c r="A9" s="2"/>
      <x:c r="B9" s="2"/>
      <x:c r="C9" s="4" t="str">
        <x:v>Excess cash (USD)</x:v>
      </x:c>
      <x:c r="D9" s="127" t="n">
        <x:v>0</x:v>
      </x:c>
      <x:c r="E9" s="2"/>
      <x:c r="F9" s="2"/>
      <x:c r="G9" s="2"/>
      <x:c r="H9" s="2"/>
      <x:c r="I9" s="2"/>
      <x:c r="J9" s="2"/>
      <x:c r="K9" s="4" t="str">
        <x:v>Use excess cash, after operating cash needs. Do not add the new round twice.</x:v>
      </x:c>
      <x:c r="L9" s="2"/>
      <x:c r="M9" s="2"/>
      <x:c r="N9" s="2"/>
      <x:c r="O9" s="2"/>
      <x:c r="P9" s="2"/>
      <x:c r="Q9" s="2"/>
    </x:row>
    <x:row r="10" ht="23" customHeight="1">
      <x:c r="A10" s="2"/>
      <x:c r="B10" s="2"/>
      <x:c r="C10" s="4" t="str">
        <x:v>Debt (USD)</x:v>
      </x:c>
      <x:c r="D10" s="127" t="n">
        <x:v>0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3" customHeight="1">
      <x:c r="A11" s="2"/>
      <x:c r="B11" s="2"/>
      <x:c r="C11" s="106" t="str">
        <x:v>Illustrative enterprise value (USD)</x:v>
      </x:c>
      <x:c r="D11" s="154" t="n">
        <x:f>D7*D8</x:f>
        <x:v>4632754.807117472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3" customHeight="1">
      <x:c r="A12" s="2"/>
      <x:c r="B12" s="2"/>
      <x:c r="C12" s="58" t="str">
        <x:v>Illustrative equity value (USD)</x:v>
      </x:c>
      <x:c r="D12" s="153" t="n">
        <x:f>D11+D9-D10</x:f>
        <x:v>4632754.807117472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3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3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7" customHeight="1">
      <x:c r="A15" s="2"/>
      <x:c r="B15" s="2"/>
      <x:c r="C15" s="50" t="str">
        <x:v>Same ARR, different multiple</x:v>
      </x:c>
      <x:c r="D15" s="50" t="str">
        <x:v>EV / ARR</x:v>
      </x:c>
      <x:c r="E15" s="50" t="str">
        <x:v>Enterprise value USD</x:v>
      </x:c>
      <x:c r="F15" s="50" t="str">
        <x:v>Equity value USD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3" customHeight="1">
      <x:c r="A16" s="2"/>
      <x:c r="B16" s="2"/>
      <x:c r="C16" s="4" t="str">
        <x:v>Lower assumption</x:v>
      </x:c>
      <x:c r="D16" s="152" t="n">
        <x:v>2</x:v>
      </x:c>
      <x:c r="E16" s="135" t="n">
        <x:f>$D$7*D16</x:f>
        <x:v>2316377.403558736</x:v>
      </x:c>
      <x:c r="F16" s="135" t="n">
        <x:f>E16+$D$9-$D$10</x:f>
        <x:v>2316377.403558736</x:v>
      </x:c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3" customHeight="1">
      <x:c r="A17" s="2"/>
      <x:c r="B17" s="2"/>
      <x:c r="C17" s="4" t="str">
        <x:v>Middle assumption</x:v>
      </x:c>
      <x:c r="D17" s="152" t="n">
        <x:v>4</x:v>
      </x:c>
      <x:c r="E17" s="135" t="n">
        <x:f>$D$7*D17</x:f>
        <x:v>4632754.807117472</x:v>
      </x:c>
      <x:c r="F17" s="135" t="n">
        <x:f>E17+$D$9-$D$10</x:f>
        <x:v>4632754.807117472</x:v>
      </x:c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3" customHeight="1">
      <x:c r="A18" s="2"/>
      <x:c r="B18" s="2"/>
      <x:c r="C18" s="4" t="str">
        <x:v>Higher assumption</x:v>
      </x:c>
      <x:c r="D18" s="152" t="n">
        <x:v>6</x:v>
      </x:c>
      <x:c r="E18" s="135" t="n">
        <x:f>$D$7*D18</x:f>
        <x:v>6949132.210676208</x:v>
      </x:c>
      <x:c r="F18" s="135" t="n">
        <x:f>E18+$D$9-$D$10</x:f>
        <x:v>6949132.210676208</x:v>
      </x:c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3" customHeight="1">
      <x:c r="A20" s="2"/>
      <x:c r="B20" s="2"/>
      <x:c r="C20" s="4" t="str">
        <x:v>Revenue multiples change with growth, retention, margins, risk and negotiating conditions.</x:v>
      </x:c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3" customHeight="1">
      <x:c r="A21" s="2"/>
      <x:c r="B21" s="2"/>
      <x:c r="C21" s="4" t="str">
        <x:v>Low contract values and custom delivery can make broad SaaS comparisons misleading.</x:v>
      </x:c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3" customHeight="1">
      <x:c r="A23" s="2"/>
      <x:c r="B23" s="2"/>
      <x:c r="C23" s="20" t="str">
        <x:v>How many paid outlets create scale?</x:v>
      </x:c>
      <x:c r="D23" s="21"/>
      <x:c r="E23" s="21"/>
      <x:c r="F23" s="21"/>
      <x:c r="G23" s="21"/>
      <x:c r="H23" s="21"/>
      <x:c r="I23" s="21"/>
      <x:c r="J23" s="2"/>
      <x:c r="K23" s="2"/>
      <x:c r="L23" s="2"/>
      <x:c r="M23" s="2"/>
      <x:c r="N23" s="2"/>
      <x:c r="O23" s="2"/>
      <x:c r="P23" s="2"/>
      <x:c r="Q23" s="2"/>
    </x:row>
    <x:row r="24" ht="23" customHeight="1">
      <x:c r="A24" s="2"/>
      <x:c r="B24" s="2"/>
      <x:c r="C24" s="4" t="str">
        <x:v>ARR target (USD)</x:v>
      </x:c>
      <x:c r="D24" s="2"/>
      <x:c r="E24" s="2"/>
      <x:c r="F24" s="127" t="n">
        <x:v>1000000</x:v>
      </x:c>
      <x:c r="G24" s="127" t="n">
        <x:v>100000000</x:v>
      </x:c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7" customHeight="1">
      <x:c r="A26" s="2"/>
      <x:c r="B26" s="2"/>
      <x:c r="C26" s="50" t="str">
        <x:v>Country at Y1 plan mix</x:v>
      </x:c>
      <x:c r="D26" s="50" t="str">
        <x:v>Monthly native ARPU</x:v>
      </x:c>
      <x:c r="E26" s="50" t="str">
        <x:v>Annual ARPU USD</x:v>
      </x:c>
      <x:c r="F26" s="50" t="str">
        <x:v>Outlets for target F24</x:v>
      </x:c>
      <x:c r="G26" s="50" t="str">
        <x:v>Outlets for target G24</x:v>
      </x:c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3" customHeight="1">
      <x:c r="A27" s="2"/>
      <x:c r="B27" s="2"/>
      <x:c r="C27" s="4" t="str">
        <x:v>India (INR price)</x:v>
      </x:c>
      <x:c r="D27" s="64" t="n">
        <x:f>'Forecast'!E13</x:f>
        <x:v>1739.0333333333333</x:v>
      </x:c>
      <x:c r="E27" s="71" t="n">
        <x:f>D27*'Assumptions'!$D$19/'Assumptions'!$D$7</x:f>
        <x:v>231.87111111111113</x:v>
      </x:c>
      <x:c r="F27" s="141" t="n">
        <x:f>ROUNDUP($F$24/E27,0)</x:f>
        <x:v>4313</x:v>
      </x:c>
      <x:c r="G27" s="141" t="n">
        <x:f>ROUNDUP($G$24/E27,0)</x:f>
        <x:v>431275</x:v>
      </x:c>
      <x:c r="H27" s="2"/>
      <x:c r="I27" s="2"/>
      <x:c r="J27" s="2"/>
      <x:c r="K27" s="4" t="str">
        <x:v>Planning FX and annual discounts included; no price growth or future add-ons.</x:v>
      </x:c>
      <x:c r="L27" s="2"/>
      <x:c r="M27" s="2"/>
      <x:c r="N27" s="2"/>
      <x:c r="O27" s="2"/>
      <x:c r="P27" s="2"/>
      <x:c r="Q27" s="2"/>
    </x:row>
    <x:row r="28" ht="23" customHeight="1">
      <x:c r="A28" s="2"/>
      <x:c r="B28" s="2"/>
      <x:c r="C28" s="4" t="str">
        <x:v>UAE (AED price)</x:v>
      </x:c>
      <x:c r="D28" s="64" t="n">
        <x:f>'Forecast'!E21</x:f>
        <x:v>203.775</x:v>
      </x:c>
      <x:c r="E28" s="71" t="n">
        <x:f>D28*'Assumptions'!$D$19/'Assumptions'!$D$8</x:f>
        <x:v>665.8407079646018</x:v>
      </x:c>
      <x:c r="F28" s="141" t="n">
        <x:f>ROUNDUP($F$24/E28,0)</x:f>
        <x:v>1502</x:v>
      </x:c>
      <x:c r="G28" s="141" t="n">
        <x:f>ROUNDUP($G$24/E28,0)</x:f>
        <x:v>150187</x:v>
      </x:c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3" customHeight="1">
      <x:c r="A30" s="2"/>
      <x:c r="B30" s="2"/>
      <x:c r="C30" s="20" t="str">
        <x:v>Expansion required to offset churn</x:v>
      </x:c>
      <x:c r="D30" s="21"/>
      <x:c r="E30" s="21"/>
      <x:c r="F30" s="21"/>
      <x:c r="G30" s="21"/>
      <x:c r="H30" s="21"/>
      <x:c r="I30" s="21"/>
      <x:c r="J30" s="2"/>
      <x:c r="K30" s="2"/>
      <x:c r="L30" s="2"/>
      <x:c r="M30" s="2"/>
      <x:c r="N30" s="2"/>
      <x:c r="O30" s="2"/>
      <x:c r="P30" s="2"/>
      <x:c r="Q30" s="2"/>
    </x:row>
    <x:row r="31" ht="23" customHeight="1">
      <x:c r="A31" s="2"/>
      <x:c r="B31" s="2"/>
      <x:c r="C31" s="4" t="str">
        <x:v>Target 12-month NRR</x:v>
      </x:c>
      <x:c r="D31" s="40" t="n">
        <x:v>1.05</x:v>
      </x:c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3" customHeight="1">
      <x:c r="A32" s="2"/>
      <x:c r="B32" s="2"/>
      <x:c r="C32" s="4" t="str">
        <x:v>India annual logo retention</x:v>
      </x:c>
      <x:c r="D32" s="73" t="n">
        <x:f>(1-'Assumptions'!E44)^'Assumptions'!$D$19</x:f>
        <x:v>0.9081133618083123</x:v>
      </x:c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3" customHeight="1">
      <x:c r="A33" s="2"/>
      <x:c r="B33" s="2"/>
      <x:c r="C33" s="4" t="str">
        <x:v>India survivor expansion needed</x:v>
      </x:c>
      <x:c r="D33" s="72" t="n">
        <x:f>D31/D32-1</x:f>
        <x:v>0.15624331075709663</x:v>
      </x:c>
      <x:c r="E33" s="2"/>
      <x:c r="F33" s="2"/>
      <x:c r="G33" s="2"/>
      <x:c r="H33" s="2"/>
      <x:c r="I33" s="2"/>
      <x:c r="J33" s="2"/>
      <x:c r="K33" s="4" t="str">
        <x:v>Assumes uniform revenue per lost/surviving outlet. Measure real revenue cohorts.</x:v>
      </x:c>
      <x:c r="L33" s="2"/>
      <x:c r="M33" s="2"/>
      <x:c r="N33" s="2"/>
      <x:c r="O33" s="2"/>
      <x:c r="P33" s="2"/>
      <x:c r="Q33" s="2"/>
    </x:row>
    <x:row r="34" ht="23" customHeight="1">
      <x:c r="A34" s="2"/>
      <x:c r="B34" s="2"/>
      <x:c r="C34" s="4" t="str">
        <x:v>UAE annual logo retention</x:v>
      </x:c>
      <x:c r="D34" s="73" t="n">
        <x:f>(1-'Assumptions'!E48)^'Assumptions'!$D$19</x:f>
        <x:v>0.9191597152919142</x:v>
      </x:c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3" customHeight="1">
      <x:c r="A35" s="2"/>
      <x:c r="B35" s="2"/>
      <x:c r="C35" s="4" t="str">
        <x:v>UAE survivor expansion needed</x:v>
      </x:c>
      <x:c r="D35" s="72" t="n">
        <x:f>D31/D34-1</x:f>
        <x:v>0.14234771447368377</x:v>
      </x:c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3" customHeight="1">
      <x:c r="A37" s="2"/>
      <x:c r="B37" s="2"/>
      <x:c r="C37" s="20" t="str">
        <x:v>One-round exit example</x:v>
      </x:c>
      <x:c r="D37" s="21"/>
      <x:c r="E37" s="21"/>
      <x:c r="F37" s="21"/>
      <x:c r="G37" s="21"/>
      <x:c r="H37" s="21"/>
      <x:c r="I37" s="21"/>
      <x:c r="J37" s="2"/>
      <x:c r="K37" s="2"/>
      <x:c r="L37" s="2"/>
      <x:c r="M37" s="2"/>
      <x:c r="N37" s="2"/>
      <x:c r="O37" s="2"/>
      <x:c r="P37" s="2"/>
      <x:c r="Q37" s="2"/>
    </x:row>
    <x:row r="38" ht="23" customHeight="1">
      <x:c r="A38" s="2"/>
      <x:c r="B38" s="2"/>
      <x:c r="C38" s="4" t="str">
        <x:v>Investor cash invested (USD)</x:v>
      </x:c>
      <x:c r="D38" s="127" t="n">
        <x:v>1000000</x:v>
      </x:c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3" customHeight="1">
      <x:c r="A39" s="2"/>
      <x:c r="B39" s="2"/>
      <x:c r="C39" s="4" t="str">
        <x:v>Investor as-converted ownership</x:v>
      </x:c>
      <x:c r="D39" s="40" t="n">
        <x:v>0.2</x:v>
      </x:c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3" customHeight="1">
      <x:c r="A40" s="2"/>
      <x:c r="B40" s="2"/>
      <x:c r="C40" s="4" t="str">
        <x:v>Sale proceeds before preference (USD)</x:v>
      </x:c>
      <x:c r="D40" s="127" t="n">
        <x:v>3000000</x:v>
      </x:c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3" customHeight="1">
      <x:c r="A41" s="2"/>
      <x:c r="B41" s="2"/>
      <x:c r="C41" s="4" t="str">
        <x:v>Investor payout, 1x non-participating</x:v>
      </x:c>
      <x:c r="D41" s="135" t="n">
        <x:f>MIN(D40,MAX(D38,D39*D40))</x:f>
        <x:v>1000000</x:v>
      </x:c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3" customHeight="1">
      <x:c r="A42" s="2"/>
      <x:c r="B42" s="2"/>
      <x:c r="C42" s="4" t="str">
        <x:v>Ordinary holders, non-participating</x:v>
      </x:c>
      <x:c r="D42" s="135" t="n">
        <x:f>D40-D41</x:f>
        <x:v>2000000</x:v>
      </x:c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3" customHeight="1">
      <x:c r="A43" s="2"/>
      <x:c r="B43" s="2"/>
      <x:c r="C43" s="4" t="str">
        <x:v>Investor payout, 1x participating</x:v>
      </x:c>
      <x:c r="D43" s="135" t="n">
        <x:f>MIN(D40,MIN(D40,D38)+D39*MAX(0,D40-D38))</x:f>
        <x:v>1400000</x:v>
      </x:c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3" customHeight="1">
      <x:c r="A44" s="2"/>
      <x:c r="B44" s="2"/>
      <x:c r="C44" s="4" t="str">
        <x:v>Ordinary holders, participating</x:v>
      </x:c>
      <x:c r="D44" s="135" t="n">
        <x:f>D40-D43</x:f>
        <x:v>1600000</x:v>
      </x:c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3" customHeight="1">
      <x:c r="A46" s="2"/>
      <x:c r="B46" s="2"/>
      <x:c r="C46" s="4" t="str">
        <x:v>One investor; 1x preference; no debt, fees, senior classes or preference cap.</x:v>
      </x:c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3" customHeight="1">
      <x:c r="A47" s="2"/>
      <x:c r="B47" s="2"/>
      <x:c r="C47" s="4" t="str">
        <x:v>The cap table does not model preference payouts. This example explains why terms matter.</x:v>
      </x:c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3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3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3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3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3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3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3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3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3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3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3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3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3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3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3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3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3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3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3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3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3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3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3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</x:sheetData>
  <x:dataValidations count="1">
    <x:dataValidation type="whole" operator="between" sqref="D6">
      <x:formula1>1</x:formula1>
      <x:formula2>60</x:formula2>
    </x:dataValidation>
  </x:dataValidations>
  <x:pageMargins left="0.7" right="0.7" top="0.75" bottom="0.75" header="0.3" footer="0.3"/>
</x:worksheet>
</file>